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Dropbox\ESPECIALIZACION COMPARTIDA GRUPO\01. TRABAJO DE GRADO\05. Monitoreo y control\A. Entregable del proyecto\02. Especificaciones y herramientas\"/>
    </mc:Choice>
  </mc:AlternateContent>
  <bookViews>
    <workbookView showSheetTabs="0" xWindow="0" yWindow="0" windowWidth="11520" windowHeight="6945" tabRatio="829" activeTab="5"/>
  </bookViews>
  <sheets>
    <sheet name="MENU" sheetId="8" r:id="rId1"/>
    <sheet name="NPT" sheetId="7" r:id="rId2"/>
    <sheet name="AVERAGE COST" sheetId="6" r:id="rId3"/>
    <sheet name="INITIAL DATA" sheetId="2" r:id="rId4"/>
    <sheet name="AFE SUMMARY" sheetId="5" r:id="rId5"/>
    <sheet name="AFE DETAILED" sheetId="1" r:id="rId6"/>
    <sheet name="OPERATIONS" sheetId="4" state="hidden" r:id="rId7"/>
    <sheet name="LISTS" sheetId="3" state="hidden" r:id="rId8"/>
  </sheets>
  <definedNames>
    <definedName name="_xlnm._FilterDatabase" localSheetId="5" hidden="1">'AFE DETAILED'!$A$1:$U$596</definedName>
    <definedName name="_xlnm._FilterDatabase" localSheetId="2" hidden="1">'AVERAGE COST'!$B$3:$O$282</definedName>
    <definedName name="_xlnm.Print_Area" localSheetId="5">'AFE DETAILED'!$A$1:$U$596</definedName>
    <definedName name="_xlnm.Print_Area" localSheetId="4">'AFE SUMMARY'!$A$1:$P$104</definedName>
    <definedName name="_xlnm.Print_Area" localSheetId="2">'AVERAGE COST'!$A$1:$W$439</definedName>
    <definedName name="_xlnm.Print_Area" localSheetId="3">'INITIAL DATA'!$A$1:$R$120</definedName>
    <definedName name="_xlnm.Print_Area" localSheetId="0">MENU!$A$1:$O$33</definedName>
    <definedName name="_xlnm.Print_Area" localSheetId="1">NPT!$A$1:$S$32</definedName>
    <definedName name="BITS">LISTS!$G$4:$G$6</definedName>
    <definedName name="DATE">LISTS!$D$4:$D$733</definedName>
    <definedName name="DIAMETERS">LISTS!$B$4:$B$12</definedName>
    <definedName name="DIAMETERS_TUBE">LISTS!$F$4:$F$15</definedName>
    <definedName name="DIAMTERS">LISTS!$B$18</definedName>
    <definedName name="HANGER">LISTS!$I$4:$I$7</definedName>
    <definedName name="HEAD">LISTS!$H$4:$H$6</definedName>
    <definedName name="PACKER">LISTS!$J$4:$J$6</definedName>
    <definedName name="PLACE">LISTS!$N$4:$N$5</definedName>
    <definedName name="PORCENTAGE">LISTS!$M$4:$M$204</definedName>
    <definedName name="QTY">LISTS!$L$4:$L$15</definedName>
    <definedName name="SECTION">LISTS!$C$4:$C$12</definedName>
    <definedName name="_xlnm.Print_Titles" localSheetId="5">'AFE DETAILED'!$1:$13</definedName>
    <definedName name="_xlnm.Print_Titles" localSheetId="2">'AVERAGE COST'!$1:$3</definedName>
    <definedName name="_xlnm.Print_Titles" localSheetId="3">'INITIAL DATA'!$1:$3</definedName>
    <definedName name="YESNO">LISTS!$E$4:$E$6</definedName>
    <definedName name="YESORNO">LISTS!$K$4:$K$5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3" i="5" l="1"/>
  <c r="C5" i="7" l="1"/>
  <c r="C6" i="7"/>
  <c r="D6" i="7"/>
  <c r="C7" i="7"/>
  <c r="D7" i="7" s="1"/>
  <c r="C8" i="7"/>
  <c r="D8" i="7"/>
  <c r="C9" i="7"/>
  <c r="D9" i="7" s="1"/>
  <c r="C10" i="7"/>
  <c r="D10" i="7" s="1"/>
  <c r="C11" i="7"/>
  <c r="C12" i="7"/>
  <c r="C13" i="7"/>
  <c r="D13" i="7" s="1"/>
  <c r="C14" i="7"/>
  <c r="C15" i="7"/>
  <c r="D15" i="7"/>
  <c r="C16" i="7"/>
  <c r="D5" i="8"/>
  <c r="D12" i="7" l="1"/>
  <c r="D16" i="7"/>
  <c r="D14" i="7"/>
  <c r="E100" i="5" l="1"/>
  <c r="M100" i="5"/>
  <c r="E95" i="5"/>
  <c r="E244" i="6" l="1"/>
  <c r="J8" i="2" l="1"/>
  <c r="E438" i="6" l="1"/>
  <c r="E430" i="6"/>
  <c r="E431" i="6"/>
  <c r="E432" i="6"/>
  <c r="E433" i="6"/>
  <c r="E434" i="6"/>
  <c r="E435" i="6"/>
  <c r="E436" i="6"/>
  <c r="E437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388" i="6"/>
  <c r="E389" i="6"/>
  <c r="E390" i="6"/>
  <c r="E391" i="6"/>
  <c r="E392" i="6"/>
  <c r="E393" i="6"/>
  <c r="E378" i="6"/>
  <c r="E379" i="6"/>
  <c r="E380" i="6"/>
  <c r="E381" i="6"/>
  <c r="E382" i="6"/>
  <c r="E383" i="6"/>
  <c r="E384" i="6"/>
  <c r="E385" i="6"/>
  <c r="E386" i="6"/>
  <c r="E387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G15" i="2"/>
  <c r="R522" i="1"/>
  <c r="S490" i="1"/>
  <c r="S488" i="1" l="1"/>
  <c r="D416" i="1" l="1"/>
  <c r="A1" i="6" l="1"/>
  <c r="C24" i="7"/>
  <c r="C25" i="7"/>
  <c r="A1" i="8" l="1"/>
  <c r="A1" i="5"/>
  <c r="A1" i="1"/>
  <c r="A1" i="2"/>
  <c r="A1" i="7"/>
  <c r="E4" i="6"/>
  <c r="E5" i="6" l="1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C19" i="7" l="1"/>
  <c r="M101" i="5" s="1"/>
  <c r="C20" i="7"/>
  <c r="C21" i="7"/>
  <c r="C22" i="7"/>
  <c r="C23" i="7"/>
  <c r="D25" i="7"/>
  <c r="C27" i="7"/>
  <c r="C28" i="7"/>
  <c r="C29" i="7"/>
  <c r="D29" i="7" s="1"/>
  <c r="M98" i="5" s="1"/>
  <c r="C18" i="7"/>
  <c r="D28" i="7" l="1"/>
  <c r="D27" i="7"/>
  <c r="D22" i="7"/>
  <c r="D21" i="7"/>
  <c r="D20" i="7"/>
  <c r="D23" i="7"/>
  <c r="D19" i="7"/>
  <c r="E101" i="5" s="1"/>
  <c r="E96" i="5"/>
  <c r="C28" i="2" l="1"/>
  <c r="D28" i="2"/>
  <c r="E28" i="2"/>
  <c r="F28" i="2"/>
  <c r="G28" i="2"/>
  <c r="H28" i="2"/>
  <c r="C18" i="5" l="1"/>
  <c r="D276" i="1"/>
  <c r="D275" i="1"/>
  <c r="D274" i="1"/>
  <c r="D273" i="1"/>
  <c r="D272" i="1"/>
  <c r="D271" i="1"/>
  <c r="D270" i="1"/>
  <c r="D269" i="1"/>
  <c r="D268" i="1"/>
  <c r="D267" i="1"/>
  <c r="D291" i="1"/>
  <c r="D290" i="1"/>
  <c r="D289" i="1"/>
  <c r="D288" i="1"/>
  <c r="D287" i="1"/>
  <c r="D286" i="1"/>
  <c r="D285" i="1"/>
  <c r="D284" i="1"/>
  <c r="D298" i="1"/>
  <c r="D297" i="1"/>
  <c r="D296" i="1"/>
  <c r="D295" i="1"/>
  <c r="D294" i="1"/>
  <c r="D306" i="1"/>
  <c r="D305" i="1"/>
  <c r="D304" i="1"/>
  <c r="D303" i="1"/>
  <c r="D302" i="1"/>
  <c r="D301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49" i="1"/>
  <c r="D348" i="1"/>
  <c r="D347" i="1"/>
  <c r="D346" i="1"/>
  <c r="D345" i="1"/>
  <c r="D344" i="1"/>
  <c r="D343" i="1"/>
  <c r="D342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77" i="1"/>
  <c r="D376" i="1"/>
  <c r="D375" i="1"/>
  <c r="D374" i="1"/>
  <c r="D373" i="1"/>
  <c r="D372" i="1"/>
  <c r="D383" i="1"/>
  <c r="D382" i="1"/>
  <c r="D381" i="1"/>
  <c r="D380" i="1"/>
  <c r="D402" i="1"/>
  <c r="D401" i="1"/>
  <c r="D400" i="1"/>
  <c r="D399" i="1"/>
  <c r="D398" i="1"/>
  <c r="D397" i="1"/>
  <c r="D396" i="1"/>
  <c r="D395" i="1"/>
  <c r="D419" i="1"/>
  <c r="D418" i="1"/>
  <c r="D417" i="1"/>
  <c r="D408" i="1"/>
  <c r="D407" i="1"/>
  <c r="D406" i="1"/>
  <c r="D405" i="1"/>
  <c r="D424" i="1"/>
  <c r="D423" i="1"/>
  <c r="D422" i="1"/>
  <c r="D430" i="1"/>
  <c r="D429" i="1"/>
  <c r="D428" i="1"/>
  <c r="D427" i="1"/>
  <c r="D438" i="1"/>
  <c r="D437" i="1"/>
  <c r="D436" i="1"/>
  <c r="D435" i="1"/>
  <c r="D434" i="1"/>
  <c r="D433" i="1"/>
  <c r="D445" i="1"/>
  <c r="D444" i="1"/>
  <c r="D443" i="1"/>
  <c r="D442" i="1"/>
  <c r="D441" i="1"/>
  <c r="D458" i="1"/>
  <c r="D457" i="1"/>
  <c r="D456" i="1"/>
  <c r="D455" i="1"/>
  <c r="D454" i="1"/>
  <c r="D453" i="1"/>
  <c r="D452" i="1"/>
  <c r="D471" i="1"/>
  <c r="D470" i="1"/>
  <c r="D469" i="1"/>
  <c r="D468" i="1"/>
  <c r="D467" i="1"/>
  <c r="D466" i="1"/>
  <c r="D465" i="1"/>
  <c r="D464" i="1"/>
  <c r="D463" i="1"/>
  <c r="D462" i="1"/>
  <c r="D478" i="1"/>
  <c r="D477" i="1"/>
  <c r="D476" i="1"/>
  <c r="D475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506" i="1"/>
  <c r="D505" i="1"/>
  <c r="D504" i="1"/>
  <c r="D503" i="1"/>
  <c r="D502" i="1"/>
  <c r="D509" i="1"/>
  <c r="D519" i="1"/>
  <c r="D518" i="1"/>
  <c r="D517" i="1"/>
  <c r="D516" i="1"/>
  <c r="D515" i="1"/>
  <c r="D514" i="1"/>
  <c r="D526" i="1"/>
  <c r="D525" i="1"/>
  <c r="D524" i="1"/>
  <c r="D523" i="1"/>
  <c r="D522" i="1"/>
  <c r="D530" i="1"/>
  <c r="D535" i="1"/>
  <c r="D264" i="1" l="1"/>
  <c r="D263" i="1"/>
  <c r="D262" i="1"/>
  <c r="D261" i="1"/>
  <c r="D257" i="1"/>
  <c r="D256" i="1"/>
  <c r="D255" i="1"/>
  <c r="D590" i="1"/>
  <c r="D589" i="1"/>
  <c r="D584" i="1"/>
  <c r="D575" i="1"/>
  <c r="D574" i="1"/>
  <c r="D573" i="1"/>
  <c r="D569" i="1"/>
  <c r="D568" i="1"/>
  <c r="D567" i="1"/>
  <c r="D566" i="1"/>
  <c r="D565" i="1"/>
  <c r="D564" i="1"/>
  <c r="D554" i="1"/>
  <c r="D555" i="1"/>
  <c r="D556" i="1"/>
  <c r="D557" i="1"/>
  <c r="D558" i="1"/>
  <c r="D559" i="1"/>
  <c r="D560" i="1"/>
  <c r="D553" i="1"/>
  <c r="D549" i="1"/>
  <c r="D543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2" i="1"/>
  <c r="D233" i="1"/>
  <c r="D231" i="1"/>
  <c r="D224" i="1"/>
  <c r="D223" i="1"/>
  <c r="D222" i="1"/>
  <c r="D221" i="1"/>
  <c r="D220" i="1"/>
  <c r="D219" i="1"/>
  <c r="D218" i="1"/>
  <c r="D217" i="1"/>
  <c r="D216" i="1"/>
  <c r="D215" i="1"/>
  <c r="D214" i="1"/>
  <c r="D208" i="1"/>
  <c r="D207" i="1"/>
  <c r="D202" i="1"/>
  <c r="D201" i="1"/>
  <c r="D196" i="1"/>
  <c r="D195" i="1"/>
  <c r="T191" i="1"/>
  <c r="T192" i="1"/>
  <c r="D190" i="1"/>
  <c r="D189" i="1"/>
  <c r="D184" i="1"/>
  <c r="D183" i="1"/>
  <c r="D178" i="1"/>
  <c r="D177" i="1"/>
  <c r="D172" i="1"/>
  <c r="D171" i="1"/>
  <c r="D167" i="1"/>
  <c r="D166" i="1"/>
  <c r="D157" i="1"/>
  <c r="D156" i="1"/>
  <c r="D155" i="1"/>
  <c r="D143" i="1"/>
  <c r="D142" i="1"/>
  <c r="D141" i="1"/>
  <c r="D140" i="1"/>
  <c r="D139" i="1"/>
  <c r="D138" i="1"/>
  <c r="D124" i="1"/>
  <c r="D123" i="1"/>
  <c r="D122" i="1"/>
  <c r="D121" i="1"/>
  <c r="D120" i="1"/>
  <c r="D119" i="1"/>
  <c r="D118" i="1"/>
  <c r="D117" i="1"/>
  <c r="D104" i="1"/>
  <c r="D92" i="1"/>
  <c r="D91" i="1"/>
  <c r="D84" i="1"/>
  <c r="D83" i="1"/>
  <c r="D75" i="1"/>
  <c r="D74" i="1"/>
  <c r="D73" i="1"/>
  <c r="D72" i="1"/>
  <c r="D55" i="1"/>
  <c r="D54" i="1"/>
  <c r="D50" i="1"/>
  <c r="D43" i="1"/>
  <c r="D44" i="1"/>
  <c r="D45" i="1"/>
  <c r="D46" i="1"/>
  <c r="D47" i="1"/>
  <c r="D48" i="1"/>
  <c r="D49" i="1"/>
  <c r="D42" i="1"/>
  <c r="M4" i="1" l="1"/>
  <c r="L7" i="1" s="1"/>
  <c r="T185" i="1"/>
  <c r="T186" i="1"/>
  <c r="M46" i="1" l="1"/>
  <c r="M442" i="1"/>
  <c r="M344" i="1"/>
  <c r="M346" i="1" s="1"/>
  <c r="M117" i="1"/>
  <c r="M121" i="1"/>
  <c r="M208" i="1"/>
  <c r="M207" i="1" s="1"/>
  <c r="M167" i="1"/>
  <c r="M119" i="1"/>
  <c r="M214" i="1"/>
  <c r="M196" i="1"/>
  <c r="M195" i="1" s="1"/>
  <c r="M202" i="1"/>
  <c r="M201" i="1" s="1"/>
  <c r="M190" i="1"/>
  <c r="M189" i="1" s="1"/>
  <c r="M349" i="1" l="1"/>
  <c r="M345" i="1"/>
  <c r="M347" i="1"/>
  <c r="C37" i="2"/>
  <c r="C50" i="2" s="1"/>
  <c r="C67" i="2" s="1"/>
  <c r="C112" i="2" s="1"/>
  <c r="D37" i="2"/>
  <c r="D50" i="2" s="1"/>
  <c r="D67" i="2" s="1"/>
  <c r="D112" i="2" s="1"/>
  <c r="E37" i="2"/>
  <c r="E50" i="2" s="1"/>
  <c r="E67" i="2" s="1"/>
  <c r="E112" i="2" s="1"/>
  <c r="F37" i="2"/>
  <c r="F50" i="2" s="1"/>
  <c r="F67" i="2" s="1"/>
  <c r="F112" i="2" s="1"/>
  <c r="G37" i="2"/>
  <c r="G50" i="2" s="1"/>
  <c r="G67" i="2" s="1"/>
  <c r="G112" i="2" s="1"/>
  <c r="H37" i="2"/>
  <c r="H50" i="2" s="1"/>
  <c r="H67" i="2" s="1"/>
  <c r="H112" i="2" s="1"/>
  <c r="M3" i="5" l="1"/>
  <c r="D11" i="5"/>
  <c r="D10" i="5"/>
  <c r="D9" i="5"/>
  <c r="D8" i="5"/>
  <c r="D7" i="5"/>
  <c r="J11" i="2"/>
  <c r="D5" i="5"/>
  <c r="D4" i="5"/>
  <c r="D3" i="5"/>
  <c r="K4" i="1"/>
  <c r="D86" i="5"/>
  <c r="D85" i="5"/>
  <c r="C85" i="5"/>
  <c r="C86" i="5"/>
  <c r="D87" i="5"/>
  <c r="C87" i="5"/>
  <c r="D88" i="5"/>
  <c r="C88" i="5"/>
  <c r="D89" i="5"/>
  <c r="C89" i="5"/>
  <c r="D90" i="5"/>
  <c r="C90" i="5"/>
  <c r="D91" i="5"/>
  <c r="C91" i="5"/>
  <c r="C92" i="5"/>
  <c r="B92" i="5"/>
  <c r="B91" i="5"/>
  <c r="B90" i="5"/>
  <c r="B89" i="5"/>
  <c r="B88" i="5"/>
  <c r="B87" i="5"/>
  <c r="B86" i="5"/>
  <c r="B85" i="5"/>
  <c r="C84" i="5"/>
  <c r="B84" i="5"/>
  <c r="C82" i="5"/>
  <c r="B82" i="5"/>
  <c r="D81" i="5"/>
  <c r="C81" i="5"/>
  <c r="B81" i="5"/>
  <c r="D80" i="5"/>
  <c r="C80" i="5"/>
  <c r="B80" i="5"/>
  <c r="D79" i="5"/>
  <c r="C79" i="5"/>
  <c r="B79" i="5"/>
  <c r="D78" i="5"/>
  <c r="C78" i="5"/>
  <c r="B78" i="5"/>
  <c r="D77" i="5"/>
  <c r="C77" i="5"/>
  <c r="B77" i="5"/>
  <c r="D76" i="5"/>
  <c r="C76" i="5"/>
  <c r="B76" i="5"/>
  <c r="D74" i="5"/>
  <c r="D75" i="5"/>
  <c r="C75" i="5"/>
  <c r="B75" i="5"/>
  <c r="C74" i="5"/>
  <c r="B74" i="5"/>
  <c r="D73" i="5"/>
  <c r="C73" i="5"/>
  <c r="B73" i="5"/>
  <c r="D72" i="5"/>
  <c r="C72" i="5"/>
  <c r="B72" i="5"/>
  <c r="D71" i="5"/>
  <c r="C71" i="5"/>
  <c r="B71" i="5"/>
  <c r="D70" i="5"/>
  <c r="C70" i="5"/>
  <c r="B70" i="5"/>
  <c r="D69" i="5"/>
  <c r="C69" i="5"/>
  <c r="B69" i="5"/>
  <c r="D68" i="5"/>
  <c r="C68" i="5"/>
  <c r="B68" i="5"/>
  <c r="D67" i="5"/>
  <c r="C67" i="5"/>
  <c r="B67" i="5"/>
  <c r="D66" i="5"/>
  <c r="C66" i="5"/>
  <c r="B66" i="5"/>
  <c r="D65" i="5"/>
  <c r="C65" i="5"/>
  <c r="B65" i="5"/>
  <c r="D64" i="5"/>
  <c r="C64" i="5"/>
  <c r="B64" i="5"/>
  <c r="D63" i="5"/>
  <c r="C63" i="5"/>
  <c r="B63" i="5"/>
  <c r="D62" i="5"/>
  <c r="C62" i="5"/>
  <c r="B62" i="5"/>
  <c r="D61" i="5"/>
  <c r="C61" i="5"/>
  <c r="B61" i="5"/>
  <c r="D60" i="5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D55" i="5"/>
  <c r="C55" i="5"/>
  <c r="B56" i="5"/>
  <c r="B55" i="5"/>
  <c r="D54" i="5"/>
  <c r="C54" i="5"/>
  <c r="B54" i="5"/>
  <c r="C53" i="5"/>
  <c r="B53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C37" i="5"/>
  <c r="B38" i="5"/>
  <c r="B37" i="5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C29" i="5"/>
  <c r="B29" i="5"/>
  <c r="C27" i="5"/>
  <c r="D26" i="5"/>
  <c r="C26" i="5"/>
  <c r="B26" i="5"/>
  <c r="C25" i="5"/>
  <c r="C24" i="5"/>
  <c r="D25" i="5"/>
  <c r="B25" i="5"/>
  <c r="D24" i="5"/>
  <c r="B24" i="5"/>
  <c r="C23" i="5"/>
  <c r="B23" i="5"/>
  <c r="B27" i="5" s="1"/>
  <c r="D20" i="5"/>
  <c r="D19" i="5"/>
  <c r="D15" i="5"/>
  <c r="C21" i="5"/>
  <c r="C20" i="5"/>
  <c r="C19" i="5"/>
  <c r="B20" i="5"/>
  <c r="B15" i="5"/>
  <c r="B19" i="5"/>
  <c r="B18" i="5"/>
  <c r="B21" i="5" s="1"/>
  <c r="C16" i="5"/>
  <c r="B16" i="5"/>
  <c r="C14" i="5"/>
  <c r="C15" i="5"/>
  <c r="B14" i="5"/>
  <c r="B13" i="5"/>
  <c r="M11" i="5" l="1"/>
  <c r="M13" i="5"/>
  <c r="M4" i="5"/>
  <c r="E3" i="5"/>
  <c r="E13" i="5" s="1"/>
  <c r="K8" i="1"/>
  <c r="C26" i="7" l="1"/>
  <c r="D26" i="7" s="1"/>
  <c r="E7" i="5"/>
  <c r="E98" i="5"/>
  <c r="E97" i="5" l="1"/>
  <c r="E43" i="1"/>
  <c r="E44" i="1"/>
  <c r="E45" i="1"/>
  <c r="E46" i="1"/>
  <c r="E47" i="1"/>
  <c r="E48" i="1"/>
  <c r="E49" i="1"/>
  <c r="E50" i="1"/>
  <c r="E54" i="1"/>
  <c r="E25" i="1"/>
  <c r="E72" i="1"/>
  <c r="E73" i="1"/>
  <c r="E74" i="1"/>
  <c r="M74" i="1" s="1"/>
  <c r="E75" i="1"/>
  <c r="E83" i="1"/>
  <c r="E84" i="1"/>
  <c r="E91" i="1"/>
  <c r="E92" i="1"/>
  <c r="E104" i="1"/>
  <c r="E117" i="1"/>
  <c r="E118" i="1"/>
  <c r="M118" i="1" s="1"/>
  <c r="E119" i="1"/>
  <c r="E120" i="1"/>
  <c r="M120" i="1" s="1"/>
  <c r="E121" i="1"/>
  <c r="E122" i="1"/>
  <c r="M122" i="1" s="1"/>
  <c r="E123" i="1"/>
  <c r="M123" i="1" s="1"/>
  <c r="E124" i="1"/>
  <c r="M124" i="1" s="1"/>
  <c r="E138" i="1"/>
  <c r="E139" i="1"/>
  <c r="E140" i="1"/>
  <c r="E141" i="1"/>
  <c r="E142" i="1"/>
  <c r="E143" i="1"/>
  <c r="E166" i="1"/>
  <c r="E167" i="1"/>
  <c r="E171" i="1"/>
  <c r="E172" i="1"/>
  <c r="E177" i="1"/>
  <c r="E178" i="1"/>
  <c r="E183" i="1"/>
  <c r="E184" i="1"/>
  <c r="E189" i="1"/>
  <c r="E190" i="1"/>
  <c r="E195" i="1"/>
  <c r="E196" i="1"/>
  <c r="E202" i="1"/>
  <c r="E207" i="1"/>
  <c r="E208" i="1"/>
  <c r="E214" i="1"/>
  <c r="E215" i="1"/>
  <c r="E216" i="1"/>
  <c r="E217" i="1"/>
  <c r="E218" i="1"/>
  <c r="E219" i="1"/>
  <c r="E220" i="1"/>
  <c r="E221" i="1"/>
  <c r="E222" i="1"/>
  <c r="E223" i="1"/>
  <c r="E224" i="1"/>
  <c r="E231" i="1"/>
  <c r="E232" i="1"/>
  <c r="M232" i="1" s="1"/>
  <c r="E233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55" i="1"/>
  <c r="E256" i="1"/>
  <c r="E257" i="1"/>
  <c r="E261" i="1"/>
  <c r="E262" i="1"/>
  <c r="E263" i="1"/>
  <c r="E264" i="1"/>
  <c r="E267" i="1"/>
  <c r="E268" i="1"/>
  <c r="E269" i="1"/>
  <c r="E270" i="1"/>
  <c r="E271" i="1"/>
  <c r="E272" i="1"/>
  <c r="E273" i="1"/>
  <c r="E274" i="1"/>
  <c r="E275" i="1"/>
  <c r="E276" i="1"/>
  <c r="E284" i="1"/>
  <c r="E285" i="1"/>
  <c r="E286" i="1"/>
  <c r="E287" i="1"/>
  <c r="E288" i="1"/>
  <c r="E289" i="1"/>
  <c r="E290" i="1"/>
  <c r="E291" i="1"/>
  <c r="E294" i="1"/>
  <c r="E295" i="1"/>
  <c r="M295" i="1" s="1"/>
  <c r="E296" i="1"/>
  <c r="E297" i="1"/>
  <c r="E298" i="1"/>
  <c r="E301" i="1"/>
  <c r="E302" i="1"/>
  <c r="E303" i="1"/>
  <c r="E304" i="1"/>
  <c r="E305" i="1"/>
  <c r="E306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42" i="1"/>
  <c r="E343" i="1"/>
  <c r="E344" i="1"/>
  <c r="E345" i="1"/>
  <c r="E346" i="1"/>
  <c r="E347" i="1"/>
  <c r="E348" i="1"/>
  <c r="E349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72" i="1"/>
  <c r="E373" i="1"/>
  <c r="E374" i="1"/>
  <c r="E375" i="1"/>
  <c r="E376" i="1"/>
  <c r="E377" i="1"/>
  <c r="E380" i="1"/>
  <c r="E381" i="1"/>
  <c r="E382" i="1"/>
  <c r="E383" i="1"/>
  <c r="E395" i="1"/>
  <c r="E396" i="1"/>
  <c r="E397" i="1"/>
  <c r="E398" i="1"/>
  <c r="E399" i="1"/>
  <c r="E400" i="1"/>
  <c r="E401" i="1"/>
  <c r="E402" i="1"/>
  <c r="E405" i="1"/>
  <c r="E406" i="1"/>
  <c r="E407" i="1"/>
  <c r="E408" i="1"/>
  <c r="E416" i="1"/>
  <c r="E417" i="1"/>
  <c r="E418" i="1"/>
  <c r="E419" i="1"/>
  <c r="E422" i="1"/>
  <c r="E423" i="1"/>
  <c r="E424" i="1"/>
  <c r="E427" i="1"/>
  <c r="E428" i="1"/>
  <c r="E429" i="1"/>
  <c r="E430" i="1"/>
  <c r="E433" i="1"/>
  <c r="E434" i="1"/>
  <c r="E435" i="1"/>
  <c r="E436" i="1"/>
  <c r="E437" i="1"/>
  <c r="E438" i="1"/>
  <c r="E441" i="1"/>
  <c r="E442" i="1"/>
  <c r="E443" i="1"/>
  <c r="E444" i="1"/>
  <c r="E445" i="1"/>
  <c r="E462" i="1"/>
  <c r="E452" i="1"/>
  <c r="E463" i="1"/>
  <c r="E464" i="1"/>
  <c r="E465" i="1"/>
  <c r="E453" i="1"/>
  <c r="E466" i="1"/>
  <c r="E467" i="1"/>
  <c r="E468" i="1"/>
  <c r="E469" i="1"/>
  <c r="E454" i="1"/>
  <c r="E455" i="1"/>
  <c r="E456" i="1"/>
  <c r="E457" i="1"/>
  <c r="E458" i="1"/>
  <c r="E470" i="1"/>
  <c r="E471" i="1"/>
  <c r="E475" i="1"/>
  <c r="E476" i="1"/>
  <c r="E477" i="1"/>
  <c r="E478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2" i="1"/>
  <c r="M502" i="1" s="1"/>
  <c r="E503" i="1"/>
  <c r="E504" i="1"/>
  <c r="E505" i="1"/>
  <c r="E506" i="1"/>
  <c r="E509" i="1"/>
  <c r="E514" i="1"/>
  <c r="E515" i="1"/>
  <c r="E516" i="1"/>
  <c r="E517" i="1"/>
  <c r="E518" i="1"/>
  <c r="E519" i="1"/>
  <c r="E522" i="1"/>
  <c r="E523" i="1"/>
  <c r="E524" i="1"/>
  <c r="E525" i="1"/>
  <c r="E526" i="1"/>
  <c r="E530" i="1"/>
  <c r="E535" i="1"/>
  <c r="E543" i="1"/>
  <c r="E549" i="1"/>
  <c r="E553" i="1"/>
  <c r="E554" i="1"/>
  <c r="E555" i="1"/>
  <c r="E556" i="1"/>
  <c r="E557" i="1"/>
  <c r="E558" i="1"/>
  <c r="E559" i="1"/>
  <c r="E560" i="1"/>
  <c r="E564" i="1"/>
  <c r="E565" i="1"/>
  <c r="E566" i="1"/>
  <c r="E567" i="1"/>
  <c r="E568" i="1"/>
  <c r="E569" i="1"/>
  <c r="E573" i="1"/>
  <c r="E574" i="1"/>
  <c r="E575" i="1"/>
  <c r="E584" i="1"/>
  <c r="E589" i="1"/>
  <c r="E590" i="1"/>
  <c r="E42" i="1"/>
  <c r="M486" i="1" l="1"/>
  <c r="M422" i="1"/>
  <c r="M364" i="1"/>
  <c r="M286" i="1"/>
  <c r="M296" i="1"/>
  <c r="M287" i="1"/>
  <c r="M267" i="1"/>
  <c r="M269" i="1"/>
  <c r="M268" i="1"/>
  <c r="M43" i="1"/>
  <c r="M45" i="1"/>
  <c r="M44" i="1"/>
  <c r="M233" i="1"/>
  <c r="M231" i="1"/>
  <c r="M217" i="1"/>
  <c r="M215" i="1"/>
  <c r="E201" i="1"/>
  <c r="E16" i="1"/>
  <c r="E156" i="1"/>
  <c r="E155" i="1"/>
  <c r="E157" i="1"/>
  <c r="E26" i="1"/>
  <c r="E32" i="1"/>
  <c r="E17" i="1"/>
  <c r="E33" i="1"/>
  <c r="E55" i="1"/>
  <c r="E61" i="1"/>
  <c r="M223" i="1" l="1"/>
  <c r="M219" i="1"/>
  <c r="M220" i="1" s="1"/>
  <c r="M221" i="1"/>
  <c r="M218" i="1"/>
  <c r="M224" i="1"/>
  <c r="M222" i="1"/>
  <c r="K259" i="1"/>
  <c r="E54" i="5" s="1"/>
  <c r="T438" i="1"/>
  <c r="T417" i="1"/>
  <c r="T445" i="1"/>
  <c r="T446" i="1"/>
  <c r="T447" i="1"/>
  <c r="T448" i="1"/>
  <c r="T449" i="1"/>
  <c r="T455" i="1"/>
  <c r="T459" i="1"/>
  <c r="T472" i="1"/>
  <c r="T485" i="1"/>
  <c r="T505" i="1"/>
  <c r="T510" i="1"/>
  <c r="T511" i="1"/>
  <c r="T517" i="1"/>
  <c r="T524" i="1"/>
  <c r="T527" i="1"/>
  <c r="T531" i="1"/>
  <c r="T532" i="1"/>
  <c r="T536" i="1"/>
  <c r="T537" i="1"/>
  <c r="T502" i="1"/>
  <c r="L420" i="1"/>
  <c r="L425" i="1"/>
  <c r="R425" i="1"/>
  <c r="L431" i="1"/>
  <c r="L439" i="1"/>
  <c r="M439" i="1"/>
  <c r="N439" i="1"/>
  <c r="O439" i="1"/>
  <c r="P439" i="1"/>
  <c r="Q439" i="1"/>
  <c r="L450" i="1"/>
  <c r="L460" i="1"/>
  <c r="L473" i="1"/>
  <c r="L479" i="1"/>
  <c r="M479" i="1"/>
  <c r="N479" i="1"/>
  <c r="O479" i="1"/>
  <c r="P479" i="1"/>
  <c r="Q479" i="1"/>
  <c r="L500" i="1"/>
  <c r="L507" i="1"/>
  <c r="L512" i="1"/>
  <c r="L520" i="1"/>
  <c r="L528" i="1"/>
  <c r="L533" i="1"/>
  <c r="L538" i="1"/>
  <c r="K538" i="1"/>
  <c r="E81" i="5" s="1"/>
  <c r="K533" i="1"/>
  <c r="E80" i="5" s="1"/>
  <c r="K528" i="1"/>
  <c r="E79" i="5" s="1"/>
  <c r="K520" i="1"/>
  <c r="E78" i="5" s="1"/>
  <c r="K512" i="1"/>
  <c r="E77" i="5" s="1"/>
  <c r="K507" i="1"/>
  <c r="E76" i="5" s="1"/>
  <c r="K500" i="1"/>
  <c r="E75" i="5" s="1"/>
  <c r="K479" i="1"/>
  <c r="E74" i="5" s="1"/>
  <c r="K473" i="1"/>
  <c r="E73" i="5" s="1"/>
  <c r="K460" i="1"/>
  <c r="E72" i="5" s="1"/>
  <c r="K450" i="1"/>
  <c r="E71" i="5" s="1"/>
  <c r="K439" i="1"/>
  <c r="E70" i="5" s="1"/>
  <c r="K431" i="1"/>
  <c r="E69" i="5" s="1"/>
  <c r="K425" i="1"/>
  <c r="E68" i="5" s="1"/>
  <c r="K420" i="1"/>
  <c r="E67" i="5" s="1"/>
  <c r="T406" i="1"/>
  <c r="T409" i="1"/>
  <c r="T410" i="1"/>
  <c r="T411" i="1"/>
  <c r="T412" i="1"/>
  <c r="T413" i="1"/>
  <c r="T397" i="1"/>
  <c r="L414" i="1"/>
  <c r="R414" i="1"/>
  <c r="K414" i="1"/>
  <c r="E66" i="5" s="1"/>
  <c r="L403" i="1"/>
  <c r="M403" i="1"/>
  <c r="N403" i="1"/>
  <c r="O403" i="1"/>
  <c r="P403" i="1"/>
  <c r="Q403" i="1"/>
  <c r="K403" i="1"/>
  <c r="E65" i="5" s="1"/>
  <c r="T383" i="1"/>
  <c r="T384" i="1"/>
  <c r="T385" i="1"/>
  <c r="T386" i="1"/>
  <c r="T387" i="1"/>
  <c r="T388" i="1"/>
  <c r="T389" i="1"/>
  <c r="T390" i="1"/>
  <c r="T391" i="1"/>
  <c r="T392" i="1"/>
  <c r="T372" i="1"/>
  <c r="L393" i="1"/>
  <c r="M393" i="1"/>
  <c r="N393" i="1"/>
  <c r="O393" i="1"/>
  <c r="P393" i="1"/>
  <c r="Q393" i="1"/>
  <c r="K393" i="1"/>
  <c r="E64" i="5" s="1"/>
  <c r="L378" i="1"/>
  <c r="M378" i="1"/>
  <c r="N378" i="1"/>
  <c r="O378" i="1"/>
  <c r="P378" i="1"/>
  <c r="Q378" i="1"/>
  <c r="K378" i="1"/>
  <c r="E63" i="5" s="1"/>
  <c r="T355" i="1"/>
  <c r="T361" i="1"/>
  <c r="T365" i="1"/>
  <c r="T366" i="1"/>
  <c r="T367" i="1"/>
  <c r="T368" i="1"/>
  <c r="T369" i="1"/>
  <c r="L370" i="1"/>
  <c r="R370" i="1"/>
  <c r="K370" i="1"/>
  <c r="E62" i="5" s="1"/>
  <c r="T343" i="1"/>
  <c r="T348" i="1"/>
  <c r="T350" i="1"/>
  <c r="T342" i="1"/>
  <c r="L351" i="1"/>
  <c r="M351" i="1"/>
  <c r="K351" i="1"/>
  <c r="E61" i="5" s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09" i="1"/>
  <c r="L340" i="1"/>
  <c r="M340" i="1"/>
  <c r="N340" i="1"/>
  <c r="O340" i="1"/>
  <c r="P340" i="1"/>
  <c r="Q340" i="1"/>
  <c r="R340" i="1"/>
  <c r="K340" i="1"/>
  <c r="E60" i="5" s="1"/>
  <c r="T303" i="1"/>
  <c r="T301" i="1"/>
  <c r="L307" i="1"/>
  <c r="K307" i="1"/>
  <c r="E59" i="5" s="1"/>
  <c r="T298" i="1"/>
  <c r="T294" i="1"/>
  <c r="L299" i="1"/>
  <c r="R299" i="1"/>
  <c r="K299" i="1"/>
  <c r="E58" i="5" s="1"/>
  <c r="L292" i="1"/>
  <c r="R292" i="1"/>
  <c r="K292" i="1"/>
  <c r="E57" i="5" s="1"/>
  <c r="L282" i="1"/>
  <c r="K282" i="1"/>
  <c r="E56" i="5" s="1"/>
  <c r="T273" i="1"/>
  <c r="T277" i="1"/>
  <c r="T278" i="1"/>
  <c r="T279" i="1"/>
  <c r="T280" i="1"/>
  <c r="T281" i="1"/>
  <c r="L265" i="1"/>
  <c r="K265" i="1"/>
  <c r="E55" i="5" s="1"/>
  <c r="T257" i="1"/>
  <c r="T258" i="1"/>
  <c r="L259" i="1"/>
  <c r="E82" i="5" l="1"/>
  <c r="M141" i="1"/>
  <c r="M140" i="1"/>
  <c r="M143" i="1"/>
  <c r="M11" i="1"/>
  <c r="M142" i="1"/>
  <c r="M559" i="1"/>
  <c r="M553" i="1"/>
  <c r="M558" i="1"/>
  <c r="M557" i="1"/>
  <c r="M560" i="1"/>
  <c r="M555" i="1"/>
  <c r="M590" i="1"/>
  <c r="M48" i="1"/>
  <c r="M104" i="1"/>
  <c r="M115" i="1" s="1"/>
  <c r="G3" i="5"/>
  <c r="L61" i="1"/>
  <c r="L6" i="1"/>
  <c r="M8" i="1"/>
  <c r="K9" i="1"/>
  <c r="E8" i="5" s="1"/>
  <c r="K7" i="1"/>
  <c r="M12" i="1"/>
  <c r="M9" i="1"/>
  <c r="M33" i="1"/>
  <c r="R32" i="1"/>
  <c r="M17" i="1"/>
  <c r="R33" i="1"/>
  <c r="M32" i="1"/>
  <c r="R17" i="1"/>
  <c r="M26" i="1"/>
  <c r="R25" i="1"/>
  <c r="R26" i="1"/>
  <c r="M16" i="1"/>
  <c r="M25" i="1"/>
  <c r="R16" i="1"/>
  <c r="K33" i="1"/>
  <c r="K17" i="1"/>
  <c r="K32" i="1"/>
  <c r="K16" i="1"/>
  <c r="K26" i="1"/>
  <c r="K25" i="1"/>
  <c r="T340" i="1"/>
  <c r="K539" i="1"/>
  <c r="L539" i="1"/>
  <c r="T591" i="1"/>
  <c r="T585" i="1"/>
  <c r="T586" i="1"/>
  <c r="T576" i="1"/>
  <c r="T577" i="1"/>
  <c r="T578" i="1"/>
  <c r="T579" i="1"/>
  <c r="T580" i="1"/>
  <c r="T581" i="1"/>
  <c r="L592" i="1"/>
  <c r="K592" i="1"/>
  <c r="E91" i="5" s="1"/>
  <c r="L587" i="1"/>
  <c r="K587" i="1"/>
  <c r="E90" i="5" s="1"/>
  <c r="L582" i="1"/>
  <c r="K582" i="1"/>
  <c r="E89" i="5" s="1"/>
  <c r="T570" i="1"/>
  <c r="L571" i="1"/>
  <c r="K571" i="1"/>
  <c r="E88" i="5" s="1"/>
  <c r="T561" i="1"/>
  <c r="L562" i="1"/>
  <c r="K562" i="1"/>
  <c r="E87" i="5" s="1"/>
  <c r="T550" i="1"/>
  <c r="L551" i="1"/>
  <c r="K551" i="1"/>
  <c r="E86" i="5" s="1"/>
  <c r="L547" i="1"/>
  <c r="K547" i="1"/>
  <c r="E85" i="5" s="1"/>
  <c r="T544" i="1"/>
  <c r="T545" i="1"/>
  <c r="T546" i="1"/>
  <c r="T239" i="1"/>
  <c r="T248" i="1"/>
  <c r="T249" i="1"/>
  <c r="L250" i="1"/>
  <c r="M250" i="1"/>
  <c r="N250" i="1"/>
  <c r="O250" i="1"/>
  <c r="P250" i="1"/>
  <c r="Q250" i="1"/>
  <c r="K250" i="1"/>
  <c r="E50" i="5" s="1"/>
  <c r="L234" i="1"/>
  <c r="M234" i="1"/>
  <c r="K234" i="1"/>
  <c r="E49" i="5" s="1"/>
  <c r="T216" i="1"/>
  <c r="T225" i="1"/>
  <c r="T226" i="1"/>
  <c r="T227" i="1"/>
  <c r="T228" i="1"/>
  <c r="T209" i="1"/>
  <c r="T210" i="1"/>
  <c r="T211" i="1"/>
  <c r="L229" i="1"/>
  <c r="M229" i="1"/>
  <c r="K229" i="1"/>
  <c r="E48" i="5" s="1"/>
  <c r="L212" i="1"/>
  <c r="M212" i="1"/>
  <c r="K212" i="1"/>
  <c r="E47" i="5" s="1"/>
  <c r="T203" i="1"/>
  <c r="T204" i="1"/>
  <c r="L205" i="1"/>
  <c r="M205" i="1"/>
  <c r="K205" i="1"/>
  <c r="E46" i="5" s="1"/>
  <c r="T197" i="1"/>
  <c r="T198" i="1"/>
  <c r="L199" i="1"/>
  <c r="M199" i="1"/>
  <c r="K199" i="1"/>
  <c r="E45" i="5" s="1"/>
  <c r="L193" i="1"/>
  <c r="M193" i="1"/>
  <c r="K193" i="1"/>
  <c r="E44" i="5" s="1"/>
  <c r="L187" i="1"/>
  <c r="K187" i="1"/>
  <c r="E43" i="5" s="1"/>
  <c r="T179" i="1"/>
  <c r="T180" i="1"/>
  <c r="L181" i="1"/>
  <c r="K181" i="1"/>
  <c r="E42" i="5" s="1"/>
  <c r="T173" i="1"/>
  <c r="T174" i="1"/>
  <c r="L175" i="1"/>
  <c r="K175" i="1"/>
  <c r="E41" i="5" s="1"/>
  <c r="T168" i="1"/>
  <c r="L169" i="1"/>
  <c r="K169" i="1"/>
  <c r="E40" i="5" s="1"/>
  <c r="T158" i="1"/>
  <c r="T159" i="1"/>
  <c r="T160" i="1"/>
  <c r="T161" i="1"/>
  <c r="T162" i="1"/>
  <c r="T163" i="1"/>
  <c r="L164" i="1"/>
  <c r="M164" i="1"/>
  <c r="N164" i="1"/>
  <c r="O164" i="1"/>
  <c r="P164" i="1"/>
  <c r="Q164" i="1"/>
  <c r="K164" i="1"/>
  <c r="E39" i="5" s="1"/>
  <c r="T144" i="1"/>
  <c r="T145" i="1"/>
  <c r="T146" i="1"/>
  <c r="T147" i="1"/>
  <c r="T148" i="1"/>
  <c r="T149" i="1"/>
  <c r="T150" i="1"/>
  <c r="T151" i="1"/>
  <c r="T152" i="1"/>
  <c r="L153" i="1"/>
  <c r="K153" i="1"/>
  <c r="E38" i="5" s="1"/>
  <c r="T125" i="1"/>
  <c r="T126" i="1"/>
  <c r="T127" i="1"/>
  <c r="T128" i="1"/>
  <c r="T129" i="1"/>
  <c r="T130" i="1"/>
  <c r="T131" i="1"/>
  <c r="T132" i="1"/>
  <c r="L133" i="1"/>
  <c r="K133" i="1"/>
  <c r="E34" i="5" s="1"/>
  <c r="T105" i="1"/>
  <c r="T106" i="1"/>
  <c r="T107" i="1"/>
  <c r="T108" i="1"/>
  <c r="T109" i="1"/>
  <c r="T110" i="1"/>
  <c r="T111" i="1"/>
  <c r="T112" i="1"/>
  <c r="T113" i="1"/>
  <c r="T114" i="1"/>
  <c r="L115" i="1"/>
  <c r="E33" i="5" s="1"/>
  <c r="K115" i="1"/>
  <c r="T93" i="1"/>
  <c r="T94" i="1"/>
  <c r="T95" i="1"/>
  <c r="T96" i="1"/>
  <c r="T97" i="1"/>
  <c r="T98" i="1"/>
  <c r="T99" i="1"/>
  <c r="T100" i="1"/>
  <c r="T101" i="1"/>
  <c r="L102" i="1"/>
  <c r="R102" i="1"/>
  <c r="K102" i="1"/>
  <c r="E32" i="5" s="1"/>
  <c r="T85" i="1"/>
  <c r="T86" i="1"/>
  <c r="T87" i="1"/>
  <c r="T88" i="1"/>
  <c r="L89" i="1"/>
  <c r="K89" i="1"/>
  <c r="E31" i="5" s="1"/>
  <c r="M10" i="1" l="1"/>
  <c r="M172" i="1"/>
  <c r="M184" i="1"/>
  <c r="M495" i="1"/>
  <c r="M483" i="1"/>
  <c r="M526" i="1"/>
  <c r="M523" i="1"/>
  <c r="M482" i="1"/>
  <c r="M487" i="1"/>
  <c r="M491" i="1"/>
  <c r="M514" i="1"/>
  <c r="M484" i="1"/>
  <c r="M519" i="1"/>
  <c r="M515" i="1"/>
  <c r="M518" i="1"/>
  <c r="M516" i="1"/>
  <c r="M471" i="1"/>
  <c r="M456" i="1"/>
  <c r="M464" i="1"/>
  <c r="M506" i="1"/>
  <c r="M504" i="1"/>
  <c r="M423" i="1"/>
  <c r="M405" i="1"/>
  <c r="M297" i="1"/>
  <c r="M299" i="1" s="1"/>
  <c r="G58" i="5" s="1"/>
  <c r="M428" i="1"/>
  <c r="E51" i="5"/>
  <c r="E92" i="5"/>
  <c r="G65" i="5"/>
  <c r="G13" i="5"/>
  <c r="M305" i="1"/>
  <c r="M284" i="1"/>
  <c r="M285" i="1"/>
  <c r="M178" i="1"/>
  <c r="M47" i="1"/>
  <c r="M42" i="1"/>
  <c r="M73" i="1"/>
  <c r="M54" i="1"/>
  <c r="M59" i="1" s="1"/>
  <c r="G25" i="5" s="1"/>
  <c r="M50" i="1"/>
  <c r="M589" i="1"/>
  <c r="M592" i="1" s="1"/>
  <c r="G91" i="5" s="1"/>
  <c r="M138" i="1"/>
  <c r="M139" i="1" s="1"/>
  <c r="G8" i="5"/>
  <c r="G70" i="5"/>
  <c r="G11" i="5"/>
  <c r="G45" i="5"/>
  <c r="G44" i="5"/>
  <c r="G60" i="5"/>
  <c r="G64" i="5"/>
  <c r="G49" i="5"/>
  <c r="M573" i="1"/>
  <c r="G47" i="5"/>
  <c r="G61" i="5"/>
  <c r="M556" i="1"/>
  <c r="M554" i="1"/>
  <c r="G39" i="5"/>
  <c r="G74" i="5"/>
  <c r="G46" i="5"/>
  <c r="G63" i="5"/>
  <c r="M133" i="1"/>
  <c r="G34" i="5" s="1"/>
  <c r="M574" i="1"/>
  <c r="M566" i="1"/>
  <c r="T566" i="1" s="1"/>
  <c r="M568" i="1"/>
  <c r="M565" i="1"/>
  <c r="M584" i="1"/>
  <c r="G48" i="5"/>
  <c r="G50" i="5"/>
  <c r="M567" i="1"/>
  <c r="M564" i="1"/>
  <c r="M575" i="1"/>
  <c r="G10" i="5"/>
  <c r="G7" i="5"/>
  <c r="K6" i="1"/>
  <c r="E5" i="5"/>
  <c r="K593" i="1"/>
  <c r="L593" i="1"/>
  <c r="K251" i="1"/>
  <c r="L251" i="1"/>
  <c r="T75" i="1"/>
  <c r="T76" i="1"/>
  <c r="T77" i="1"/>
  <c r="T78" i="1"/>
  <c r="T79" i="1"/>
  <c r="T80" i="1"/>
  <c r="L81" i="1"/>
  <c r="L134" i="1" s="1"/>
  <c r="K81" i="1"/>
  <c r="L67" i="1"/>
  <c r="M67" i="1"/>
  <c r="G26" i="5" s="1"/>
  <c r="R67" i="1"/>
  <c r="K67" i="1"/>
  <c r="E26" i="5" s="1"/>
  <c r="T55" i="1"/>
  <c r="T56" i="1"/>
  <c r="T57" i="1"/>
  <c r="T58" i="1"/>
  <c r="L59" i="1"/>
  <c r="K59" i="1"/>
  <c r="E25" i="5" s="1"/>
  <c r="T49" i="1"/>
  <c r="T51" i="1"/>
  <c r="L52" i="1"/>
  <c r="K52" i="1"/>
  <c r="E24" i="5" s="1"/>
  <c r="L37" i="1"/>
  <c r="M37" i="1"/>
  <c r="G20" i="5" s="1"/>
  <c r="R37" i="1"/>
  <c r="K37" i="1"/>
  <c r="E20" i="5" s="1"/>
  <c r="L30" i="1"/>
  <c r="M30" i="1"/>
  <c r="G19" i="5" s="1"/>
  <c r="R30" i="1"/>
  <c r="K30" i="1"/>
  <c r="E19" i="5" s="1"/>
  <c r="M525" i="1" l="1"/>
  <c r="M522" i="1"/>
  <c r="M488" i="1"/>
  <c r="M490" i="1"/>
  <c r="M499" i="1" s="1"/>
  <c r="M520" i="1"/>
  <c r="G78" i="5" s="1"/>
  <c r="E27" i="5"/>
  <c r="M408" i="1"/>
  <c r="M407" i="1"/>
  <c r="M424" i="1"/>
  <c r="M425" i="1" s="1"/>
  <c r="G68" i="5" s="1"/>
  <c r="M430" i="1"/>
  <c r="M429" i="1"/>
  <c r="M427" i="1"/>
  <c r="M468" i="1"/>
  <c r="M458" i="1"/>
  <c r="M457" i="1"/>
  <c r="M465" i="1"/>
  <c r="M453" i="1"/>
  <c r="M454" i="1"/>
  <c r="M503" i="1"/>
  <c r="M507" i="1" s="1"/>
  <c r="G76" i="5" s="1"/>
  <c r="K134" i="1"/>
  <c r="E30" i="5"/>
  <c r="E35" i="5" s="1"/>
  <c r="M291" i="1"/>
  <c r="M290" i="1"/>
  <c r="M289" i="1"/>
  <c r="M288" i="1"/>
  <c r="M304" i="1"/>
  <c r="M306" i="1"/>
  <c r="M302" i="1"/>
  <c r="M153" i="1"/>
  <c r="G38" i="5" s="1"/>
  <c r="M166" i="1"/>
  <c r="M169" i="1" s="1"/>
  <c r="G40" i="5" s="1"/>
  <c r="G21" i="5"/>
  <c r="M562" i="1"/>
  <c r="G87" i="5" s="1"/>
  <c r="M582" i="1"/>
  <c r="G89" i="5" s="1"/>
  <c r="M587" i="1"/>
  <c r="G90" i="5" s="1"/>
  <c r="M52" i="1"/>
  <c r="G24" i="5" s="1"/>
  <c r="M5" i="5"/>
  <c r="E6" i="5"/>
  <c r="E21" i="5"/>
  <c r="K38" i="1"/>
  <c r="L38" i="1"/>
  <c r="M38" i="1"/>
  <c r="K68" i="1"/>
  <c r="R38" i="1"/>
  <c r="L68" i="1"/>
  <c r="M528" i="1" l="1"/>
  <c r="G79" i="5" s="1"/>
  <c r="M494" i="1"/>
  <c r="M498" i="1"/>
  <c r="M489" i="1"/>
  <c r="M414" i="1"/>
  <c r="G66" i="5" s="1"/>
  <c r="M431" i="1"/>
  <c r="G69" i="5" s="1"/>
  <c r="G27" i="5"/>
  <c r="M307" i="1"/>
  <c r="G59" i="5" s="1"/>
  <c r="M292" i="1"/>
  <c r="G57" i="5" s="1"/>
  <c r="T288" i="1"/>
  <c r="M68" i="1"/>
  <c r="L20" i="1"/>
  <c r="L21" i="1" s="1"/>
  <c r="L595" i="1" s="1"/>
  <c r="M20" i="1"/>
  <c r="K20" i="1"/>
  <c r="M500" i="1" l="1"/>
  <c r="G75" i="5" s="1"/>
  <c r="M21" i="1"/>
  <c r="G15" i="5"/>
  <c r="G16" i="5" s="1"/>
  <c r="K21" i="1"/>
  <c r="K595" i="1" s="1"/>
  <c r="E15" i="5"/>
  <c r="D15" i="2"/>
  <c r="R4" i="1"/>
  <c r="L4" i="1"/>
  <c r="L13" i="4"/>
  <c r="L12" i="4"/>
  <c r="L11" i="4"/>
  <c r="L10" i="4"/>
  <c r="L9" i="4"/>
  <c r="L8" i="4"/>
  <c r="L7" i="4"/>
  <c r="L6" i="4"/>
  <c r="L5" i="4"/>
  <c r="J15" i="2"/>
  <c r="C15" i="2"/>
  <c r="N4" i="1"/>
  <c r="N486" i="1" l="1"/>
  <c r="R486" i="1"/>
  <c r="R495" i="1"/>
  <c r="N441" i="1"/>
  <c r="N364" i="1"/>
  <c r="R441" i="1"/>
  <c r="R380" i="1"/>
  <c r="R381" i="1"/>
  <c r="R434" i="1"/>
  <c r="R373" i="1"/>
  <c r="N344" i="1"/>
  <c r="N346" i="1" s="1"/>
  <c r="N295" i="1"/>
  <c r="N286" i="1"/>
  <c r="N287" i="1"/>
  <c r="R344" i="1"/>
  <c r="R347" i="1" s="1"/>
  <c r="R304" i="1"/>
  <c r="R307" i="1" s="1"/>
  <c r="N267" i="1"/>
  <c r="N268" i="1"/>
  <c r="N269" i="1"/>
  <c r="R270" i="1"/>
  <c r="R269" i="1"/>
  <c r="R267" i="1"/>
  <c r="R268" i="1"/>
  <c r="N215" i="1"/>
  <c r="N44" i="1"/>
  <c r="N46" i="1"/>
  <c r="N217" i="1"/>
  <c r="N232" i="1"/>
  <c r="N231" i="1" s="1"/>
  <c r="N43" i="1"/>
  <c r="N45" i="1"/>
  <c r="N48" i="1"/>
  <c r="N214" i="1"/>
  <c r="N208" i="1"/>
  <c r="N207" i="1" s="1"/>
  <c r="N212" i="1" s="1"/>
  <c r="N202" i="1"/>
  <c r="N201" i="1" s="1"/>
  <c r="N205" i="1" s="1"/>
  <c r="N196" i="1"/>
  <c r="N195" i="1" s="1"/>
  <c r="N199" i="1" s="1"/>
  <c r="R244" i="1"/>
  <c r="R238" i="1"/>
  <c r="T238" i="1" s="1"/>
  <c r="R217" i="1"/>
  <c r="R240" i="1"/>
  <c r="R74" i="1"/>
  <c r="T74" i="1" s="1"/>
  <c r="R44" i="1"/>
  <c r="R43" i="1"/>
  <c r="R45" i="1"/>
  <c r="R48" i="1"/>
  <c r="R215" i="1"/>
  <c r="R46" i="1"/>
  <c r="R214" i="1"/>
  <c r="R190" i="1"/>
  <c r="R189" i="1" s="1"/>
  <c r="R193" i="1" s="1"/>
  <c r="R172" i="1"/>
  <c r="R171" i="1" s="1"/>
  <c r="R175" i="1" s="1"/>
  <c r="R118" i="1"/>
  <c r="R122" i="1"/>
  <c r="R196" i="1"/>
  <c r="R195" i="1" s="1"/>
  <c r="R199" i="1" s="1"/>
  <c r="R184" i="1"/>
  <c r="R183" i="1" s="1"/>
  <c r="R187" i="1" s="1"/>
  <c r="R119" i="1"/>
  <c r="R123" i="1"/>
  <c r="R167" i="1"/>
  <c r="R166" i="1" s="1"/>
  <c r="R169" i="1" s="1"/>
  <c r="R120" i="1"/>
  <c r="R124" i="1"/>
  <c r="R202" i="1"/>
  <c r="R201" i="1" s="1"/>
  <c r="R205" i="1" s="1"/>
  <c r="R178" i="1"/>
  <c r="R177" i="1" s="1"/>
  <c r="R181" i="1" s="1"/>
  <c r="R117" i="1"/>
  <c r="R121" i="1"/>
  <c r="N190" i="1"/>
  <c r="N167" i="1"/>
  <c r="N166" i="1" s="1"/>
  <c r="N117" i="1"/>
  <c r="N121" i="1"/>
  <c r="N118" i="1"/>
  <c r="N122" i="1"/>
  <c r="N119" i="1"/>
  <c r="N123" i="1"/>
  <c r="N120" i="1"/>
  <c r="N124" i="1"/>
  <c r="R140" i="1"/>
  <c r="R142" i="1"/>
  <c r="R156" i="1"/>
  <c r="T156" i="1" s="1"/>
  <c r="R143" i="1"/>
  <c r="R141" i="1"/>
  <c r="R157" i="1"/>
  <c r="T157" i="1" s="1"/>
  <c r="N142" i="1"/>
  <c r="N143" i="1"/>
  <c r="N140" i="1"/>
  <c r="N141" i="1"/>
  <c r="N558" i="1"/>
  <c r="N555" i="1"/>
  <c r="N559" i="1"/>
  <c r="N560" i="1"/>
  <c r="N553" i="1"/>
  <c r="N557" i="1"/>
  <c r="R558" i="1"/>
  <c r="R555" i="1"/>
  <c r="R559" i="1"/>
  <c r="R560" i="1"/>
  <c r="R553" i="1"/>
  <c r="R557" i="1"/>
  <c r="H3" i="5"/>
  <c r="N590" i="1"/>
  <c r="N104" i="1"/>
  <c r="R590" i="1"/>
  <c r="R592" i="1" s="1"/>
  <c r="R104" i="1"/>
  <c r="R115" i="1" s="1"/>
  <c r="R12" i="1"/>
  <c r="R8" i="1"/>
  <c r="L3" i="5"/>
  <c r="R11" i="1"/>
  <c r="R9" i="1"/>
  <c r="R395" i="1" s="1"/>
  <c r="E16" i="5"/>
  <c r="L8" i="1"/>
  <c r="F3" i="5"/>
  <c r="L9" i="1"/>
  <c r="N8" i="1"/>
  <c r="N12" i="1"/>
  <c r="N11" i="1"/>
  <c r="N172" i="1" s="1"/>
  <c r="N171" i="1" s="1"/>
  <c r="N9" i="1"/>
  <c r="N428" i="1" s="1"/>
  <c r="N32" i="1"/>
  <c r="N33" i="1"/>
  <c r="N17" i="1"/>
  <c r="N25" i="1"/>
  <c r="N26" i="1"/>
  <c r="N16" i="1"/>
  <c r="L5" i="1"/>
  <c r="J4" i="4"/>
  <c r="J7" i="4" s="1"/>
  <c r="J8" i="4" s="1"/>
  <c r="R5" i="1" s="1"/>
  <c r="R20" i="1"/>
  <c r="R21" i="1" s="1"/>
  <c r="O4" i="1"/>
  <c r="K12" i="1"/>
  <c r="E11" i="5" s="1"/>
  <c r="K11" i="1"/>
  <c r="E10" i="5" s="1"/>
  <c r="L12" i="1"/>
  <c r="L11" i="1"/>
  <c r="M183" i="1" s="1"/>
  <c r="M187" i="1" s="1"/>
  <c r="G43" i="5" s="1"/>
  <c r="F4" i="4"/>
  <c r="E4" i="4"/>
  <c r="N305" i="1" l="1"/>
  <c r="N302" i="1" s="1"/>
  <c r="N10" i="1"/>
  <c r="F13" i="5"/>
  <c r="F5" i="5"/>
  <c r="F6" i="5" s="1"/>
  <c r="N184" i="1"/>
  <c r="N183" i="1" s="1"/>
  <c r="N187" i="1" s="1"/>
  <c r="H43" i="5" s="1"/>
  <c r="N297" i="1"/>
  <c r="N178" i="1"/>
  <c r="N177" i="1" s="1"/>
  <c r="L13" i="5"/>
  <c r="M7" i="1"/>
  <c r="G5" i="5" s="1"/>
  <c r="G6" i="5" s="1"/>
  <c r="M416" i="1"/>
  <c r="M171" i="1"/>
  <c r="M175" i="1" s="1"/>
  <c r="G41" i="5" s="1"/>
  <c r="H13" i="5"/>
  <c r="N482" i="1"/>
  <c r="N354" i="1"/>
  <c r="T11" i="1"/>
  <c r="M10" i="5" s="1"/>
  <c r="R416" i="1"/>
  <c r="R419" i="1" s="1"/>
  <c r="R420" i="1" s="1"/>
  <c r="L67" i="5" s="1"/>
  <c r="R428" i="1"/>
  <c r="R430" i="1" s="1"/>
  <c r="N356" i="1"/>
  <c r="N416" i="1"/>
  <c r="N359" i="1"/>
  <c r="R482" i="1"/>
  <c r="R518" i="1"/>
  <c r="N518" i="1"/>
  <c r="R208" i="1"/>
  <c r="R207" i="1" s="1"/>
  <c r="R523" i="1"/>
  <c r="R528" i="1" s="1"/>
  <c r="L79" i="5" s="1"/>
  <c r="N523" i="1"/>
  <c r="N526" i="1"/>
  <c r="N491" i="1"/>
  <c r="R496" i="1"/>
  <c r="T496" i="1" s="1"/>
  <c r="O495" i="1"/>
  <c r="O486" i="1"/>
  <c r="N487" i="1"/>
  <c r="R497" i="1"/>
  <c r="T497" i="1" s="1"/>
  <c r="N483" i="1"/>
  <c r="N516" i="1"/>
  <c r="R492" i="1"/>
  <c r="N484" i="1"/>
  <c r="N515" i="1"/>
  <c r="N495" i="1"/>
  <c r="N519" i="1"/>
  <c r="R514" i="1"/>
  <c r="R519" i="1"/>
  <c r="R515" i="1"/>
  <c r="R516" i="1"/>
  <c r="N514" i="1"/>
  <c r="N471" i="1"/>
  <c r="R401" i="1"/>
  <c r="R398" i="1" s="1"/>
  <c r="T398" i="1" s="1"/>
  <c r="R464" i="1"/>
  <c r="R481" i="1"/>
  <c r="R475" i="1"/>
  <c r="R396" i="1"/>
  <c r="T396" i="1" s="1"/>
  <c r="T395" i="1"/>
  <c r="M356" i="1"/>
  <c r="M354" i="1"/>
  <c r="M359" i="1"/>
  <c r="M441" i="1"/>
  <c r="R506" i="1"/>
  <c r="R456" i="1"/>
  <c r="N444" i="1"/>
  <c r="N443" i="1"/>
  <c r="R504" i="1"/>
  <c r="R433" i="1"/>
  <c r="R437" i="1"/>
  <c r="T437" i="1" s="1"/>
  <c r="R436" i="1"/>
  <c r="T436" i="1" s="1"/>
  <c r="R435" i="1"/>
  <c r="T435" i="1" s="1"/>
  <c r="T434" i="1"/>
  <c r="R444" i="1"/>
  <c r="R443" i="1"/>
  <c r="R471" i="1"/>
  <c r="N442" i="1"/>
  <c r="N456" i="1"/>
  <c r="O442" i="1"/>
  <c r="O364" i="1"/>
  <c r="R382" i="1"/>
  <c r="T382" i="1" s="1"/>
  <c r="T381" i="1"/>
  <c r="R84" i="1"/>
  <c r="N506" i="1"/>
  <c r="R442" i="1"/>
  <c r="R374" i="1"/>
  <c r="T374" i="1" s="1"/>
  <c r="R376" i="1"/>
  <c r="T376" i="1" s="1"/>
  <c r="R377" i="1"/>
  <c r="T377" i="1" s="1"/>
  <c r="R375" i="1"/>
  <c r="T375" i="1" s="1"/>
  <c r="T373" i="1"/>
  <c r="T380" i="1"/>
  <c r="N504" i="1"/>
  <c r="N430" i="1"/>
  <c r="N429" i="1"/>
  <c r="N427" i="1"/>
  <c r="N464" i="1"/>
  <c r="N422" i="1"/>
  <c r="N296" i="1"/>
  <c r="N345" i="1"/>
  <c r="N347" i="1"/>
  <c r="R349" i="1"/>
  <c r="R345" i="1"/>
  <c r="N304" i="1"/>
  <c r="N306" i="1"/>
  <c r="R346" i="1"/>
  <c r="N285" i="1"/>
  <c r="N349" i="1"/>
  <c r="N284" i="1"/>
  <c r="O344" i="1"/>
  <c r="O349" i="1" s="1"/>
  <c r="O295" i="1"/>
  <c r="O287" i="1"/>
  <c r="O286" i="1"/>
  <c r="R275" i="1"/>
  <c r="R276" i="1"/>
  <c r="O267" i="1"/>
  <c r="O269" i="1"/>
  <c r="O268" i="1"/>
  <c r="R274" i="1"/>
  <c r="N261" i="1"/>
  <c r="M72" i="1"/>
  <c r="M81" i="1" s="1"/>
  <c r="M261" i="1"/>
  <c r="R272" i="1"/>
  <c r="R221" i="1"/>
  <c r="N54" i="1"/>
  <c r="R237" i="1"/>
  <c r="R234" i="1"/>
  <c r="L49" i="5" s="1"/>
  <c r="R42" i="1"/>
  <c r="R224" i="1"/>
  <c r="R73" i="1"/>
  <c r="R223" i="1"/>
  <c r="R222" i="1"/>
  <c r="N73" i="1"/>
  <c r="R218" i="1"/>
  <c r="N218" i="1"/>
  <c r="N222" i="1"/>
  <c r="O43" i="1"/>
  <c r="O45" i="1"/>
  <c r="O48" i="1"/>
  <c r="O232" i="1"/>
  <c r="O231" i="1" s="1"/>
  <c r="O214" i="1"/>
  <c r="O215" i="1"/>
  <c r="O44" i="1"/>
  <c r="O46" i="1"/>
  <c r="O217" i="1"/>
  <c r="O208" i="1"/>
  <c r="O207" i="1" s="1"/>
  <c r="O212" i="1" s="1"/>
  <c r="R219" i="1"/>
  <c r="R220" i="1" s="1"/>
  <c r="T240" i="1"/>
  <c r="R54" i="1"/>
  <c r="R59" i="1" s="1"/>
  <c r="L25" i="5" s="1"/>
  <c r="N47" i="1"/>
  <c r="R50" i="1"/>
  <c r="R47" i="1"/>
  <c r="R241" i="1"/>
  <c r="R243" i="1" s="1"/>
  <c r="T243" i="1" s="1"/>
  <c r="N221" i="1"/>
  <c r="N223" i="1"/>
  <c r="N42" i="1"/>
  <c r="N72" i="1"/>
  <c r="N50" i="1"/>
  <c r="R247" i="1"/>
  <c r="T247" i="1" s="1"/>
  <c r="T244" i="1"/>
  <c r="N219" i="1"/>
  <c r="N224" i="1"/>
  <c r="N233" i="1"/>
  <c r="N234" i="1" s="1"/>
  <c r="H49" i="5" s="1"/>
  <c r="N189" i="1"/>
  <c r="M177" i="1"/>
  <c r="M181" i="1" s="1"/>
  <c r="N175" i="1"/>
  <c r="H41" i="5" s="1"/>
  <c r="O172" i="1"/>
  <c r="O171" i="1" s="1"/>
  <c r="O175" i="1" s="1"/>
  <c r="O190" i="1"/>
  <c r="O189" i="1" s="1"/>
  <c r="O193" i="1" s="1"/>
  <c r="O167" i="1"/>
  <c r="O166" i="1" s="1"/>
  <c r="O169" i="1" s="1"/>
  <c r="O120" i="1"/>
  <c r="O124" i="1"/>
  <c r="O117" i="1"/>
  <c r="O121" i="1"/>
  <c r="O118" i="1"/>
  <c r="O122" i="1"/>
  <c r="O119" i="1"/>
  <c r="O123" i="1"/>
  <c r="R138" i="1"/>
  <c r="R139" i="1" s="1"/>
  <c r="H74" i="5"/>
  <c r="R155" i="1"/>
  <c r="H63" i="5"/>
  <c r="N169" i="1"/>
  <c r="H40" i="5" s="1"/>
  <c r="O141" i="1"/>
  <c r="O142" i="1"/>
  <c r="O143" i="1"/>
  <c r="O140" i="1"/>
  <c r="H47" i="5"/>
  <c r="N138" i="1"/>
  <c r="H60" i="5"/>
  <c r="H39" i="5"/>
  <c r="H8" i="5"/>
  <c r="H65" i="5"/>
  <c r="H11" i="5"/>
  <c r="H46" i="5"/>
  <c r="H45" i="5"/>
  <c r="H64" i="5"/>
  <c r="H10" i="5"/>
  <c r="H50" i="5"/>
  <c r="H70" i="5"/>
  <c r="R554" i="1"/>
  <c r="O553" i="1"/>
  <c r="O557" i="1"/>
  <c r="O558" i="1"/>
  <c r="O555" i="1"/>
  <c r="O559" i="1"/>
  <c r="O560" i="1"/>
  <c r="N584" i="1"/>
  <c r="N587" i="1" s="1"/>
  <c r="H90" i="5" s="1"/>
  <c r="R556" i="1"/>
  <c r="N556" i="1"/>
  <c r="N554" i="1"/>
  <c r="N575" i="1"/>
  <c r="N568" i="1"/>
  <c r="R567" i="1"/>
  <c r="R584" i="1"/>
  <c r="R587" i="1" s="1"/>
  <c r="L90" i="5" s="1"/>
  <c r="R575" i="1"/>
  <c r="N564" i="1"/>
  <c r="N565" i="1"/>
  <c r="R573" i="1"/>
  <c r="R568" i="1"/>
  <c r="R574" i="1"/>
  <c r="R565" i="1"/>
  <c r="R133" i="1"/>
  <c r="L34" i="5" s="1"/>
  <c r="N573" i="1"/>
  <c r="N115" i="1"/>
  <c r="G33" i="5" s="1"/>
  <c r="N567" i="1"/>
  <c r="I3" i="5"/>
  <c r="O590" i="1"/>
  <c r="O104" i="1"/>
  <c r="O115" i="1" s="1"/>
  <c r="H33" i="5" s="1"/>
  <c r="R564" i="1"/>
  <c r="N589" i="1"/>
  <c r="N574" i="1"/>
  <c r="N133" i="1"/>
  <c r="H34" i="5" s="1"/>
  <c r="H7" i="5"/>
  <c r="E94" i="5"/>
  <c r="F87" i="5"/>
  <c r="F91" i="5"/>
  <c r="F56" i="5"/>
  <c r="F60" i="5"/>
  <c r="F64" i="5"/>
  <c r="F68" i="5"/>
  <c r="F72" i="5"/>
  <c r="F76" i="5"/>
  <c r="F80" i="5"/>
  <c r="F90" i="5"/>
  <c r="F54" i="5"/>
  <c r="F57" i="5"/>
  <c r="F67" i="5"/>
  <c r="F70" i="5"/>
  <c r="F73" i="5"/>
  <c r="F38" i="5"/>
  <c r="F41" i="5"/>
  <c r="F45" i="5"/>
  <c r="F49" i="5"/>
  <c r="F85" i="5"/>
  <c r="F88" i="5"/>
  <c r="F59" i="5"/>
  <c r="F62" i="5"/>
  <c r="F65" i="5"/>
  <c r="F75" i="5"/>
  <c r="F78" i="5"/>
  <c r="F81" i="5"/>
  <c r="F39" i="5"/>
  <c r="F43" i="5"/>
  <c r="F47" i="5"/>
  <c r="F71" i="5"/>
  <c r="F74" i="5"/>
  <c r="F77" i="5"/>
  <c r="F40" i="5"/>
  <c r="F48" i="5"/>
  <c r="F32" i="5"/>
  <c r="F25" i="5"/>
  <c r="F19" i="5"/>
  <c r="F4" i="5"/>
  <c r="F86" i="5"/>
  <c r="F89" i="5"/>
  <c r="F79" i="5"/>
  <c r="F46" i="5"/>
  <c r="F31" i="5"/>
  <c r="F24" i="5"/>
  <c r="F55" i="5"/>
  <c r="F58" i="5"/>
  <c r="F61" i="5"/>
  <c r="F44" i="5"/>
  <c r="F30" i="5"/>
  <c r="F34" i="5"/>
  <c r="F15" i="5"/>
  <c r="F63" i="5"/>
  <c r="F66" i="5"/>
  <c r="F69" i="5"/>
  <c r="F42" i="5"/>
  <c r="F50" i="5"/>
  <c r="F20" i="5"/>
  <c r="F10" i="5"/>
  <c r="F7" i="5"/>
  <c r="F11" i="5"/>
  <c r="F33" i="5"/>
  <c r="F8" i="5"/>
  <c r="G9" i="5" s="1"/>
  <c r="F26" i="5"/>
  <c r="L58" i="5"/>
  <c r="L62" i="5"/>
  <c r="L66" i="5"/>
  <c r="L57" i="5"/>
  <c r="L60" i="5"/>
  <c r="L43" i="5"/>
  <c r="L91" i="5"/>
  <c r="L68" i="5"/>
  <c r="L41" i="5"/>
  <c r="L45" i="5"/>
  <c r="L46" i="5"/>
  <c r="L26" i="5"/>
  <c r="L8" i="5"/>
  <c r="L44" i="5"/>
  <c r="L33" i="5"/>
  <c r="L20" i="5"/>
  <c r="L42" i="5"/>
  <c r="L32" i="5"/>
  <c r="L19" i="5"/>
  <c r="L4" i="5"/>
  <c r="L59" i="5"/>
  <c r="L40" i="5"/>
  <c r="L15" i="5"/>
  <c r="L16" i="5" s="1"/>
  <c r="L11" i="5"/>
  <c r="L10" i="5"/>
  <c r="L7" i="5"/>
  <c r="O8" i="1"/>
  <c r="O305" i="1" s="1"/>
  <c r="O302" i="1" s="1"/>
  <c r="O12" i="1"/>
  <c r="O11" i="1"/>
  <c r="O72" i="1" s="1"/>
  <c r="O9" i="1"/>
  <c r="O428" i="1" s="1"/>
  <c r="O26" i="1"/>
  <c r="O25" i="1"/>
  <c r="O16" i="1"/>
  <c r="O33" i="1"/>
  <c r="O17" i="1"/>
  <c r="O32" i="1"/>
  <c r="N30" i="1"/>
  <c r="H19" i="5" s="1"/>
  <c r="N67" i="1"/>
  <c r="H26" i="5" s="1"/>
  <c r="N37" i="1"/>
  <c r="H20" i="5" s="1"/>
  <c r="J5" i="4"/>
  <c r="N20" i="1"/>
  <c r="P4" i="1"/>
  <c r="G4" i="4"/>
  <c r="G5" i="4" s="1"/>
  <c r="G6" i="4" s="1"/>
  <c r="F7" i="4"/>
  <c r="F8" i="4" s="1"/>
  <c r="N5" i="1" s="1"/>
  <c r="H4" i="5" s="1"/>
  <c r="F5" i="4"/>
  <c r="F6" i="4" s="1"/>
  <c r="E7" i="4"/>
  <c r="E8" i="4" s="1"/>
  <c r="M5" i="1" s="1"/>
  <c r="G4" i="5" s="1"/>
  <c r="E5" i="4"/>
  <c r="E6" i="4" s="1"/>
  <c r="D4" i="4"/>
  <c r="D5" i="4" s="1"/>
  <c r="C4" i="4"/>
  <c r="C5" i="4" s="1"/>
  <c r="K5" i="1"/>
  <c r="E4" i="5" s="1"/>
  <c r="D2" i="3"/>
  <c r="D4" i="3" s="1"/>
  <c r="E15" i="2"/>
  <c r="F15" i="2"/>
  <c r="H15" i="2"/>
  <c r="I15" i="2"/>
  <c r="O10" i="1" l="1"/>
  <c r="R467" i="1"/>
  <c r="O178" i="1"/>
  <c r="O177" i="1" s="1"/>
  <c r="O181" i="1" s="1"/>
  <c r="I42" i="5" s="1"/>
  <c r="O202" i="1"/>
  <c r="O201" i="1" s="1"/>
  <c r="O205" i="1" s="1"/>
  <c r="I46" i="5" s="1"/>
  <c r="O306" i="1"/>
  <c r="M6" i="1"/>
  <c r="N7" i="1"/>
  <c r="N6" i="1" s="1"/>
  <c r="O184" i="1"/>
  <c r="O183" i="1" s="1"/>
  <c r="O187" i="1" s="1"/>
  <c r="I43" i="5" s="1"/>
  <c r="I13" i="5"/>
  <c r="N419" i="1"/>
  <c r="N363" i="1"/>
  <c r="N360" i="1"/>
  <c r="N362" i="1"/>
  <c r="O359" i="1"/>
  <c r="R429" i="1"/>
  <c r="O416" i="1"/>
  <c r="O419" i="1" s="1"/>
  <c r="O354" i="1"/>
  <c r="O518" i="1"/>
  <c r="O356" i="1"/>
  <c r="O482" i="1"/>
  <c r="O297" i="1"/>
  <c r="O296" i="1"/>
  <c r="O83" i="1"/>
  <c r="O89" i="1" s="1"/>
  <c r="I31" i="5" s="1"/>
  <c r="O526" i="1"/>
  <c r="O525" i="1" s="1"/>
  <c r="N525" i="1"/>
  <c r="N522" i="1"/>
  <c r="O523" i="1"/>
  <c r="O484" i="1"/>
  <c r="O483" i="1"/>
  <c r="R493" i="1"/>
  <c r="T493" i="1" s="1"/>
  <c r="T492" i="1"/>
  <c r="P495" i="1"/>
  <c r="P486" i="1"/>
  <c r="O515" i="1"/>
  <c r="O487" i="1"/>
  <c r="O491" i="1"/>
  <c r="T481" i="1"/>
  <c r="R490" i="1"/>
  <c r="R488" i="1"/>
  <c r="N490" i="1"/>
  <c r="N499" i="1" s="1"/>
  <c r="N488" i="1"/>
  <c r="T401" i="1"/>
  <c r="O514" i="1"/>
  <c r="O516" i="1"/>
  <c r="N520" i="1"/>
  <c r="H78" i="5" s="1"/>
  <c r="R520" i="1"/>
  <c r="L78" i="5" s="1"/>
  <c r="O519" i="1"/>
  <c r="R399" i="1"/>
  <c r="T399" i="1" s="1"/>
  <c r="R469" i="1"/>
  <c r="R402" i="1"/>
  <c r="T402" i="1" s="1"/>
  <c r="N450" i="1"/>
  <c r="H71" i="5" s="1"/>
  <c r="R393" i="1"/>
  <c r="L64" i="5" s="1"/>
  <c r="O456" i="1"/>
  <c r="O452" i="1" s="1"/>
  <c r="R400" i="1"/>
  <c r="T400" i="1" s="1"/>
  <c r="R478" i="1"/>
  <c r="T478" i="1" s="1"/>
  <c r="R477" i="1"/>
  <c r="T477" i="1" s="1"/>
  <c r="R476" i="1"/>
  <c r="T476" i="1" s="1"/>
  <c r="T475" i="1"/>
  <c r="O504" i="1"/>
  <c r="O471" i="1"/>
  <c r="R378" i="1"/>
  <c r="L63" i="5" s="1"/>
  <c r="R450" i="1"/>
  <c r="L71" i="5" s="1"/>
  <c r="N467" i="1"/>
  <c r="N463" i="1"/>
  <c r="N462" i="1"/>
  <c r="N469" i="1"/>
  <c r="N468" i="1"/>
  <c r="N457" i="1"/>
  <c r="N465" i="1"/>
  <c r="N452" i="1"/>
  <c r="N453" i="1"/>
  <c r="N454" i="1"/>
  <c r="N458" i="1"/>
  <c r="M362" i="1"/>
  <c r="M353" i="1"/>
  <c r="M357" i="1"/>
  <c r="N357" i="1" s="1"/>
  <c r="M363" i="1"/>
  <c r="M360" i="1"/>
  <c r="P441" i="1"/>
  <c r="P364" i="1"/>
  <c r="O441" i="1"/>
  <c r="M444" i="1"/>
  <c r="M443" i="1"/>
  <c r="N503" i="1"/>
  <c r="N431" i="1"/>
  <c r="H69" i="5" s="1"/>
  <c r="T393" i="1"/>
  <c r="O429" i="1"/>
  <c r="O427" i="1"/>
  <c r="O430" i="1"/>
  <c r="O464" i="1"/>
  <c r="T433" i="1"/>
  <c r="T439" i="1" s="1"/>
  <c r="R439" i="1"/>
  <c r="L70" i="5" s="1"/>
  <c r="M419" i="1"/>
  <c r="M418" i="1"/>
  <c r="N418" i="1" s="1"/>
  <c r="M83" i="1"/>
  <c r="M255" i="1" s="1"/>
  <c r="M256" i="1" s="1"/>
  <c r="M469" i="1"/>
  <c r="M467" i="1"/>
  <c r="M452" i="1"/>
  <c r="M463" i="1"/>
  <c r="M462" i="1"/>
  <c r="T378" i="1"/>
  <c r="O506" i="1"/>
  <c r="R465" i="1"/>
  <c r="R457" i="1"/>
  <c r="R454" i="1"/>
  <c r="M358" i="1"/>
  <c r="O422" i="1"/>
  <c r="O423" i="1" s="1"/>
  <c r="N405" i="1"/>
  <c r="N423" i="1"/>
  <c r="N424" i="1"/>
  <c r="N299" i="1"/>
  <c r="H58" i="5" s="1"/>
  <c r="N351" i="1"/>
  <c r="H61" i="5" s="1"/>
  <c r="N307" i="1"/>
  <c r="H59" i="5" s="1"/>
  <c r="R351" i="1"/>
  <c r="L61" i="5" s="1"/>
  <c r="O284" i="1"/>
  <c r="O304" i="1"/>
  <c r="P295" i="1"/>
  <c r="P344" i="1"/>
  <c r="P349" i="1" s="1"/>
  <c r="P287" i="1"/>
  <c r="P286" i="1"/>
  <c r="O285" i="1"/>
  <c r="N290" i="1" s="1"/>
  <c r="O347" i="1"/>
  <c r="N291" i="1"/>
  <c r="N289" i="1"/>
  <c r="O346" i="1"/>
  <c r="O345" i="1"/>
  <c r="R282" i="1"/>
  <c r="L56" i="5" s="1"/>
  <c r="O261" i="1"/>
  <c r="O262" i="1" s="1"/>
  <c r="P267" i="1"/>
  <c r="P268" i="1"/>
  <c r="P269" i="1"/>
  <c r="N264" i="1"/>
  <c r="N262" i="1"/>
  <c r="N263" i="1"/>
  <c r="M264" i="1"/>
  <c r="M263" i="1"/>
  <c r="M262" i="1"/>
  <c r="R562" i="1"/>
  <c r="L87" i="5" s="1"/>
  <c r="T84" i="1"/>
  <c r="R255" i="1"/>
  <c r="R259" i="1" s="1"/>
  <c r="O222" i="1"/>
  <c r="O73" i="1"/>
  <c r="O219" i="1"/>
  <c r="O220" i="1" s="1"/>
  <c r="O54" i="1"/>
  <c r="O59" i="1" s="1"/>
  <c r="I25" i="5" s="1"/>
  <c r="O50" i="1"/>
  <c r="O223" i="1"/>
  <c r="O221" i="1"/>
  <c r="O224" i="1"/>
  <c r="O233" i="1"/>
  <c r="T241" i="1"/>
  <c r="R242" i="1"/>
  <c r="T242" i="1" s="1"/>
  <c r="R246" i="1"/>
  <c r="T246" i="1" s="1"/>
  <c r="P232" i="1"/>
  <c r="P231" i="1" s="1"/>
  <c r="P214" i="1"/>
  <c r="P43" i="1"/>
  <c r="P45" i="1"/>
  <c r="P48" i="1"/>
  <c r="P215" i="1"/>
  <c r="P44" i="1"/>
  <c r="P46" i="1"/>
  <c r="P217" i="1"/>
  <c r="P208" i="1"/>
  <c r="P207" i="1" s="1"/>
  <c r="P212" i="1" s="1"/>
  <c r="R245" i="1"/>
  <c r="T245" i="1" s="1"/>
  <c r="O42" i="1"/>
  <c r="O47" i="1"/>
  <c r="N220" i="1"/>
  <c r="N229" i="1" s="1"/>
  <c r="H48" i="5" s="1"/>
  <c r="R229" i="1"/>
  <c r="L48" i="5" s="1"/>
  <c r="O218" i="1"/>
  <c r="N193" i="1"/>
  <c r="H44" i="5" s="1"/>
  <c r="R153" i="1"/>
  <c r="L38" i="5" s="1"/>
  <c r="G42" i="5"/>
  <c r="G51" i="5" s="1"/>
  <c r="M251" i="1"/>
  <c r="O196" i="1"/>
  <c r="N181" i="1"/>
  <c r="H42" i="5" s="1"/>
  <c r="P178" i="1"/>
  <c r="P167" i="1"/>
  <c r="P184" i="1"/>
  <c r="P172" i="1"/>
  <c r="P171" i="1" s="1"/>
  <c r="P175" i="1" s="1"/>
  <c r="P11" i="1"/>
  <c r="P202" i="1" s="1"/>
  <c r="P119" i="1"/>
  <c r="P123" i="1"/>
  <c r="P120" i="1"/>
  <c r="P124" i="1"/>
  <c r="P117" i="1"/>
  <c r="P121" i="1"/>
  <c r="P118" i="1"/>
  <c r="P122" i="1"/>
  <c r="R164" i="1"/>
  <c r="L39" i="5" s="1"/>
  <c r="T155" i="1"/>
  <c r="T164" i="1" s="1"/>
  <c r="O138" i="1"/>
  <c r="O139" i="1" s="1"/>
  <c r="P140" i="1"/>
  <c r="P166" i="1"/>
  <c r="P141" i="1"/>
  <c r="P142" i="1"/>
  <c r="P143" i="1"/>
  <c r="N139" i="1"/>
  <c r="N153" i="1" s="1"/>
  <c r="I64" i="5"/>
  <c r="L21" i="5"/>
  <c r="I44" i="5"/>
  <c r="O554" i="1"/>
  <c r="I11" i="5"/>
  <c r="I60" i="5"/>
  <c r="N81" i="1"/>
  <c r="O556" i="1"/>
  <c r="I47" i="5"/>
  <c r="R89" i="1"/>
  <c r="L31" i="5" s="1"/>
  <c r="N562" i="1"/>
  <c r="H87" i="5" s="1"/>
  <c r="P560" i="1"/>
  <c r="P553" i="1"/>
  <c r="P557" i="1"/>
  <c r="P558" i="1"/>
  <c r="P555" i="1"/>
  <c r="P559" i="1"/>
  <c r="O575" i="1"/>
  <c r="F27" i="5"/>
  <c r="O133" i="1"/>
  <c r="I34" i="5" s="1"/>
  <c r="O564" i="1"/>
  <c r="N83" i="1"/>
  <c r="N92" i="1"/>
  <c r="J3" i="5"/>
  <c r="P590" i="1"/>
  <c r="P104" i="1"/>
  <c r="P115" i="1" s="1"/>
  <c r="I33" i="5" s="1"/>
  <c r="M92" i="1"/>
  <c r="M270" i="1" s="1"/>
  <c r="I8" i="5"/>
  <c r="I74" i="5"/>
  <c r="I63" i="5"/>
  <c r="N592" i="1"/>
  <c r="H91" i="5" s="1"/>
  <c r="O574" i="1"/>
  <c r="O567" i="1"/>
  <c r="R582" i="1"/>
  <c r="L89" i="5" s="1"/>
  <c r="I39" i="5"/>
  <c r="I50" i="5"/>
  <c r="I40" i="5"/>
  <c r="I65" i="5"/>
  <c r="O568" i="1"/>
  <c r="I10" i="5"/>
  <c r="I41" i="5"/>
  <c r="I70" i="5"/>
  <c r="O584" i="1"/>
  <c r="O573" i="1"/>
  <c r="O565" i="1"/>
  <c r="O589" i="1"/>
  <c r="O592" i="1" s="1"/>
  <c r="I91" i="5" s="1"/>
  <c r="N582" i="1"/>
  <c r="H89" i="5" s="1"/>
  <c r="R52" i="1"/>
  <c r="R68" i="1" s="1"/>
  <c r="G30" i="5"/>
  <c r="N59" i="1"/>
  <c r="H25" i="5" s="1"/>
  <c r="I7" i="5"/>
  <c r="N52" i="1"/>
  <c r="H24" i="5" s="1"/>
  <c r="H21" i="5"/>
  <c r="F35" i="5"/>
  <c r="H9" i="5"/>
  <c r="F51" i="5"/>
  <c r="N21" i="1"/>
  <c r="H15" i="5"/>
  <c r="H16" i="5" s="1"/>
  <c r="F21" i="5"/>
  <c r="F82" i="5"/>
  <c r="F16" i="5"/>
  <c r="F92" i="5"/>
  <c r="P9" i="1"/>
  <c r="P428" i="1" s="1"/>
  <c r="P8" i="1"/>
  <c r="P487" i="1" s="1"/>
  <c r="P12" i="1"/>
  <c r="O37" i="1"/>
  <c r="I20" i="5" s="1"/>
  <c r="O20" i="1"/>
  <c r="N38" i="1"/>
  <c r="O67" i="1"/>
  <c r="I26" i="5" s="1"/>
  <c r="P25" i="1"/>
  <c r="P16" i="1"/>
  <c r="P26" i="1"/>
  <c r="P32" i="1"/>
  <c r="P17" i="1"/>
  <c r="P33" i="1"/>
  <c r="O30" i="1"/>
  <c r="I19" i="5" s="1"/>
  <c r="G7" i="4"/>
  <c r="G8" i="4" s="1"/>
  <c r="O5" i="1" s="1"/>
  <c r="I4" i="5" s="1"/>
  <c r="Q4" i="1"/>
  <c r="H4" i="4"/>
  <c r="D5" i="3"/>
  <c r="D6" i="3" s="1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s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D138" i="3" s="1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D154" i="3" s="1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D169" i="3" s="1"/>
  <c r="D170" i="3" s="1"/>
  <c r="D171" i="3" s="1"/>
  <c r="D172" i="3" s="1"/>
  <c r="D173" i="3" s="1"/>
  <c r="D174" i="3" s="1"/>
  <c r="D175" i="3" s="1"/>
  <c r="D176" i="3" s="1"/>
  <c r="D177" i="3" s="1"/>
  <c r="D178" i="3" s="1"/>
  <c r="D179" i="3" s="1"/>
  <c r="D180" i="3" s="1"/>
  <c r="D181" i="3" s="1"/>
  <c r="D182" i="3" s="1"/>
  <c r="D183" i="3" s="1"/>
  <c r="D184" i="3" s="1"/>
  <c r="D185" i="3" s="1"/>
  <c r="D186" i="3" s="1"/>
  <c r="D187" i="3" s="1"/>
  <c r="D188" i="3" s="1"/>
  <c r="D189" i="3" s="1"/>
  <c r="D190" i="3" s="1"/>
  <c r="D191" i="3" s="1"/>
  <c r="D192" i="3" s="1"/>
  <c r="D193" i="3" s="1"/>
  <c r="D194" i="3" s="1"/>
  <c r="D195" i="3" s="1"/>
  <c r="D196" i="3" s="1"/>
  <c r="D197" i="3" s="1"/>
  <c r="D198" i="3" s="1"/>
  <c r="D199" i="3" s="1"/>
  <c r="D200" i="3" s="1"/>
  <c r="D201" i="3" s="1"/>
  <c r="D202" i="3" s="1"/>
  <c r="D203" i="3" s="1"/>
  <c r="D204" i="3" s="1"/>
  <c r="D205" i="3" s="1"/>
  <c r="D206" i="3" s="1"/>
  <c r="D207" i="3" s="1"/>
  <c r="D208" i="3" s="1"/>
  <c r="D209" i="3" s="1"/>
  <c r="D210" i="3" s="1"/>
  <c r="D211" i="3" s="1"/>
  <c r="D212" i="3" s="1"/>
  <c r="D213" i="3" s="1"/>
  <c r="D214" i="3" s="1"/>
  <c r="D215" i="3" s="1"/>
  <c r="D216" i="3" s="1"/>
  <c r="D217" i="3" s="1"/>
  <c r="D218" i="3" s="1"/>
  <c r="D219" i="3" s="1"/>
  <c r="D220" i="3" s="1"/>
  <c r="D221" i="3" s="1"/>
  <c r="D222" i="3" s="1"/>
  <c r="D223" i="3" s="1"/>
  <c r="D224" i="3" s="1"/>
  <c r="D225" i="3" s="1"/>
  <c r="D226" i="3" s="1"/>
  <c r="D227" i="3" s="1"/>
  <c r="D228" i="3" s="1"/>
  <c r="D229" i="3" s="1"/>
  <c r="D230" i="3" s="1"/>
  <c r="D231" i="3" s="1"/>
  <c r="D232" i="3" s="1"/>
  <c r="D233" i="3" s="1"/>
  <c r="D234" i="3" s="1"/>
  <c r="D235" i="3" s="1"/>
  <c r="D236" i="3" s="1"/>
  <c r="D237" i="3" s="1"/>
  <c r="D238" i="3" s="1"/>
  <c r="D239" i="3" s="1"/>
  <c r="D240" i="3" s="1"/>
  <c r="D241" i="3" s="1"/>
  <c r="D242" i="3" s="1"/>
  <c r="D243" i="3" s="1"/>
  <c r="D244" i="3" s="1"/>
  <c r="D245" i="3" s="1"/>
  <c r="D246" i="3" s="1"/>
  <c r="D247" i="3" s="1"/>
  <c r="D248" i="3" s="1"/>
  <c r="D249" i="3" s="1"/>
  <c r="D250" i="3" s="1"/>
  <c r="D251" i="3" s="1"/>
  <c r="D252" i="3" s="1"/>
  <c r="D253" i="3" s="1"/>
  <c r="D254" i="3" s="1"/>
  <c r="D255" i="3" s="1"/>
  <c r="D256" i="3" s="1"/>
  <c r="D257" i="3" s="1"/>
  <c r="D258" i="3" s="1"/>
  <c r="D259" i="3" s="1"/>
  <c r="D260" i="3" s="1"/>
  <c r="D261" i="3" s="1"/>
  <c r="D262" i="3" s="1"/>
  <c r="D263" i="3" s="1"/>
  <c r="D264" i="3" s="1"/>
  <c r="D265" i="3" s="1"/>
  <c r="D266" i="3" s="1"/>
  <c r="D267" i="3" s="1"/>
  <c r="D268" i="3" s="1"/>
  <c r="D269" i="3" s="1"/>
  <c r="D270" i="3" s="1"/>
  <c r="D271" i="3" s="1"/>
  <c r="D272" i="3" s="1"/>
  <c r="D273" i="3" s="1"/>
  <c r="D274" i="3" s="1"/>
  <c r="D275" i="3" s="1"/>
  <c r="D276" i="3" s="1"/>
  <c r="D277" i="3" s="1"/>
  <c r="D278" i="3" s="1"/>
  <c r="D279" i="3" s="1"/>
  <c r="D280" i="3" s="1"/>
  <c r="D281" i="3" s="1"/>
  <c r="D282" i="3" s="1"/>
  <c r="D283" i="3" s="1"/>
  <c r="D284" i="3" s="1"/>
  <c r="D285" i="3" s="1"/>
  <c r="D286" i="3" s="1"/>
  <c r="D287" i="3" s="1"/>
  <c r="D288" i="3" s="1"/>
  <c r="D289" i="3" s="1"/>
  <c r="D290" i="3" s="1"/>
  <c r="D291" i="3" s="1"/>
  <c r="D292" i="3" s="1"/>
  <c r="D293" i="3" s="1"/>
  <c r="D294" i="3" s="1"/>
  <c r="D295" i="3" s="1"/>
  <c r="D296" i="3" s="1"/>
  <c r="D297" i="3" s="1"/>
  <c r="D298" i="3" s="1"/>
  <c r="D299" i="3" s="1"/>
  <c r="D300" i="3" s="1"/>
  <c r="D301" i="3" s="1"/>
  <c r="D302" i="3" s="1"/>
  <c r="D303" i="3" s="1"/>
  <c r="D304" i="3" s="1"/>
  <c r="D305" i="3" s="1"/>
  <c r="D306" i="3" s="1"/>
  <c r="D307" i="3" s="1"/>
  <c r="D308" i="3" s="1"/>
  <c r="D309" i="3" s="1"/>
  <c r="D310" i="3" s="1"/>
  <c r="D311" i="3" s="1"/>
  <c r="D312" i="3" s="1"/>
  <c r="D313" i="3" s="1"/>
  <c r="D314" i="3" s="1"/>
  <c r="D315" i="3" s="1"/>
  <c r="D316" i="3" s="1"/>
  <c r="D317" i="3" s="1"/>
  <c r="D318" i="3" s="1"/>
  <c r="D319" i="3" s="1"/>
  <c r="D320" i="3" s="1"/>
  <c r="D321" i="3" s="1"/>
  <c r="D322" i="3" s="1"/>
  <c r="D323" i="3" s="1"/>
  <c r="D324" i="3" s="1"/>
  <c r="D325" i="3" s="1"/>
  <c r="D326" i="3" s="1"/>
  <c r="D327" i="3" s="1"/>
  <c r="D328" i="3" s="1"/>
  <c r="D329" i="3" s="1"/>
  <c r="D330" i="3" s="1"/>
  <c r="D331" i="3" s="1"/>
  <c r="D332" i="3" s="1"/>
  <c r="D333" i="3" s="1"/>
  <c r="D334" i="3" s="1"/>
  <c r="D335" i="3" s="1"/>
  <c r="D336" i="3" s="1"/>
  <c r="D337" i="3" s="1"/>
  <c r="D338" i="3" s="1"/>
  <c r="D339" i="3" s="1"/>
  <c r="D340" i="3" s="1"/>
  <c r="D341" i="3" s="1"/>
  <c r="D342" i="3" s="1"/>
  <c r="D343" i="3" s="1"/>
  <c r="D344" i="3" s="1"/>
  <c r="D345" i="3" s="1"/>
  <c r="D346" i="3" s="1"/>
  <c r="D347" i="3" s="1"/>
  <c r="D348" i="3" s="1"/>
  <c r="D349" i="3" s="1"/>
  <c r="D350" i="3" s="1"/>
  <c r="D351" i="3" s="1"/>
  <c r="D352" i="3" s="1"/>
  <c r="D353" i="3" s="1"/>
  <c r="D354" i="3" s="1"/>
  <c r="D355" i="3" s="1"/>
  <c r="D356" i="3" s="1"/>
  <c r="D357" i="3" s="1"/>
  <c r="D358" i="3" s="1"/>
  <c r="D359" i="3" s="1"/>
  <c r="D360" i="3" s="1"/>
  <c r="D361" i="3" s="1"/>
  <c r="D362" i="3" s="1"/>
  <c r="D363" i="3" s="1"/>
  <c r="D364" i="3" s="1"/>
  <c r="D365" i="3" s="1"/>
  <c r="D366" i="3" s="1"/>
  <c r="D367" i="3" s="1"/>
  <c r="D368" i="3" s="1"/>
  <c r="D369" i="3" s="1"/>
  <c r="D370" i="3" s="1"/>
  <c r="D371" i="3" s="1"/>
  <c r="D372" i="3" s="1"/>
  <c r="D373" i="3" s="1"/>
  <c r="D374" i="3" s="1"/>
  <c r="D375" i="3" s="1"/>
  <c r="D376" i="3" s="1"/>
  <c r="D377" i="3" s="1"/>
  <c r="D378" i="3" s="1"/>
  <c r="D379" i="3" s="1"/>
  <c r="D380" i="3" s="1"/>
  <c r="D381" i="3" s="1"/>
  <c r="D382" i="3" s="1"/>
  <c r="D383" i="3" s="1"/>
  <c r="D384" i="3" s="1"/>
  <c r="D385" i="3" s="1"/>
  <c r="D386" i="3" s="1"/>
  <c r="D387" i="3" s="1"/>
  <c r="D388" i="3" s="1"/>
  <c r="D389" i="3" s="1"/>
  <c r="D390" i="3" s="1"/>
  <c r="D391" i="3" s="1"/>
  <c r="D392" i="3" s="1"/>
  <c r="D393" i="3" s="1"/>
  <c r="D394" i="3" s="1"/>
  <c r="D395" i="3" s="1"/>
  <c r="D396" i="3" s="1"/>
  <c r="D397" i="3" s="1"/>
  <c r="D398" i="3" s="1"/>
  <c r="D399" i="3" s="1"/>
  <c r="D400" i="3" s="1"/>
  <c r="D401" i="3" s="1"/>
  <c r="D402" i="3" s="1"/>
  <c r="D403" i="3" s="1"/>
  <c r="D404" i="3" s="1"/>
  <c r="D405" i="3" s="1"/>
  <c r="D406" i="3" s="1"/>
  <c r="D407" i="3" s="1"/>
  <c r="D408" i="3" s="1"/>
  <c r="D409" i="3" s="1"/>
  <c r="D410" i="3" s="1"/>
  <c r="D411" i="3" s="1"/>
  <c r="D412" i="3" s="1"/>
  <c r="D413" i="3" s="1"/>
  <c r="D414" i="3" s="1"/>
  <c r="D415" i="3" s="1"/>
  <c r="D416" i="3" s="1"/>
  <c r="D417" i="3" s="1"/>
  <c r="D418" i="3" s="1"/>
  <c r="D419" i="3" s="1"/>
  <c r="D420" i="3" s="1"/>
  <c r="D421" i="3" s="1"/>
  <c r="D422" i="3" s="1"/>
  <c r="D423" i="3" s="1"/>
  <c r="D424" i="3" s="1"/>
  <c r="D425" i="3" s="1"/>
  <c r="D426" i="3" s="1"/>
  <c r="D427" i="3" s="1"/>
  <c r="D428" i="3" s="1"/>
  <c r="D429" i="3" s="1"/>
  <c r="D430" i="3" s="1"/>
  <c r="D431" i="3" s="1"/>
  <c r="D432" i="3" s="1"/>
  <c r="D433" i="3" s="1"/>
  <c r="D434" i="3" s="1"/>
  <c r="D435" i="3" s="1"/>
  <c r="D436" i="3" s="1"/>
  <c r="D437" i="3" s="1"/>
  <c r="D438" i="3" s="1"/>
  <c r="D439" i="3" s="1"/>
  <c r="D440" i="3" s="1"/>
  <c r="D441" i="3" s="1"/>
  <c r="D442" i="3" s="1"/>
  <c r="D443" i="3" s="1"/>
  <c r="D444" i="3" s="1"/>
  <c r="D445" i="3" s="1"/>
  <c r="D446" i="3" s="1"/>
  <c r="D447" i="3" s="1"/>
  <c r="D448" i="3" s="1"/>
  <c r="D449" i="3" s="1"/>
  <c r="D450" i="3" s="1"/>
  <c r="D451" i="3" s="1"/>
  <c r="D452" i="3" s="1"/>
  <c r="D453" i="3" s="1"/>
  <c r="D454" i="3" s="1"/>
  <c r="D455" i="3" s="1"/>
  <c r="D456" i="3" s="1"/>
  <c r="D457" i="3" s="1"/>
  <c r="D458" i="3" s="1"/>
  <c r="D459" i="3" s="1"/>
  <c r="D460" i="3" s="1"/>
  <c r="D461" i="3" s="1"/>
  <c r="D462" i="3" s="1"/>
  <c r="D463" i="3" s="1"/>
  <c r="D464" i="3" s="1"/>
  <c r="D465" i="3" s="1"/>
  <c r="D466" i="3" s="1"/>
  <c r="D467" i="3" s="1"/>
  <c r="D468" i="3" s="1"/>
  <c r="D469" i="3" s="1"/>
  <c r="D470" i="3" s="1"/>
  <c r="D471" i="3" s="1"/>
  <c r="D472" i="3" s="1"/>
  <c r="D473" i="3" s="1"/>
  <c r="D474" i="3" s="1"/>
  <c r="D475" i="3" s="1"/>
  <c r="D476" i="3" s="1"/>
  <c r="D477" i="3" s="1"/>
  <c r="D478" i="3" s="1"/>
  <c r="D479" i="3" s="1"/>
  <c r="D480" i="3" s="1"/>
  <c r="D481" i="3" s="1"/>
  <c r="D482" i="3" s="1"/>
  <c r="D483" i="3" s="1"/>
  <c r="D484" i="3" s="1"/>
  <c r="D485" i="3" s="1"/>
  <c r="D486" i="3" s="1"/>
  <c r="D487" i="3" s="1"/>
  <c r="D488" i="3" s="1"/>
  <c r="D489" i="3" s="1"/>
  <c r="D490" i="3" s="1"/>
  <c r="D491" i="3" s="1"/>
  <c r="D492" i="3" s="1"/>
  <c r="D493" i="3" s="1"/>
  <c r="D494" i="3" s="1"/>
  <c r="D495" i="3" s="1"/>
  <c r="D496" i="3" s="1"/>
  <c r="D497" i="3" s="1"/>
  <c r="D498" i="3" s="1"/>
  <c r="D499" i="3" s="1"/>
  <c r="D500" i="3" s="1"/>
  <c r="D501" i="3" s="1"/>
  <c r="D502" i="3" s="1"/>
  <c r="D503" i="3" s="1"/>
  <c r="D504" i="3" s="1"/>
  <c r="D505" i="3" s="1"/>
  <c r="D506" i="3" s="1"/>
  <c r="D507" i="3" s="1"/>
  <c r="D508" i="3" s="1"/>
  <c r="D509" i="3" s="1"/>
  <c r="D510" i="3" s="1"/>
  <c r="D511" i="3" s="1"/>
  <c r="D512" i="3" s="1"/>
  <c r="D513" i="3" s="1"/>
  <c r="D514" i="3" s="1"/>
  <c r="D515" i="3" s="1"/>
  <c r="D516" i="3" s="1"/>
  <c r="D517" i="3" s="1"/>
  <c r="D518" i="3" s="1"/>
  <c r="D519" i="3" s="1"/>
  <c r="D520" i="3" s="1"/>
  <c r="D521" i="3" s="1"/>
  <c r="D522" i="3" s="1"/>
  <c r="D523" i="3" s="1"/>
  <c r="D524" i="3" s="1"/>
  <c r="D525" i="3" s="1"/>
  <c r="D526" i="3" s="1"/>
  <c r="D527" i="3" s="1"/>
  <c r="D528" i="3" s="1"/>
  <c r="D529" i="3" s="1"/>
  <c r="D530" i="3" s="1"/>
  <c r="D531" i="3" s="1"/>
  <c r="D532" i="3" s="1"/>
  <c r="D533" i="3" s="1"/>
  <c r="D534" i="3" s="1"/>
  <c r="D535" i="3" s="1"/>
  <c r="D536" i="3" s="1"/>
  <c r="D537" i="3" s="1"/>
  <c r="D538" i="3" s="1"/>
  <c r="D539" i="3" s="1"/>
  <c r="D540" i="3" s="1"/>
  <c r="D541" i="3" s="1"/>
  <c r="D542" i="3" s="1"/>
  <c r="D543" i="3" s="1"/>
  <c r="D544" i="3" s="1"/>
  <c r="D545" i="3" s="1"/>
  <c r="D546" i="3" s="1"/>
  <c r="D547" i="3" s="1"/>
  <c r="D548" i="3" s="1"/>
  <c r="D549" i="3" s="1"/>
  <c r="D550" i="3" s="1"/>
  <c r="D551" i="3" s="1"/>
  <c r="D552" i="3" s="1"/>
  <c r="D553" i="3" s="1"/>
  <c r="D554" i="3" s="1"/>
  <c r="D555" i="3" s="1"/>
  <c r="D556" i="3" s="1"/>
  <c r="D557" i="3" s="1"/>
  <c r="D558" i="3" s="1"/>
  <c r="D559" i="3" s="1"/>
  <c r="D560" i="3" s="1"/>
  <c r="D561" i="3" s="1"/>
  <c r="D562" i="3" s="1"/>
  <c r="D563" i="3" s="1"/>
  <c r="D564" i="3" s="1"/>
  <c r="D565" i="3" s="1"/>
  <c r="D566" i="3" s="1"/>
  <c r="D567" i="3" s="1"/>
  <c r="D568" i="3" s="1"/>
  <c r="D569" i="3" s="1"/>
  <c r="D570" i="3" s="1"/>
  <c r="D571" i="3" s="1"/>
  <c r="D572" i="3" s="1"/>
  <c r="D573" i="3" s="1"/>
  <c r="D574" i="3" s="1"/>
  <c r="D575" i="3" s="1"/>
  <c r="D576" i="3" s="1"/>
  <c r="D577" i="3" s="1"/>
  <c r="D578" i="3" s="1"/>
  <c r="D579" i="3" s="1"/>
  <c r="D580" i="3" s="1"/>
  <c r="D581" i="3" s="1"/>
  <c r="D582" i="3" s="1"/>
  <c r="D583" i="3" s="1"/>
  <c r="D584" i="3" s="1"/>
  <c r="D585" i="3" s="1"/>
  <c r="D586" i="3" s="1"/>
  <c r="D587" i="3" s="1"/>
  <c r="D588" i="3" s="1"/>
  <c r="D589" i="3" s="1"/>
  <c r="D590" i="3" s="1"/>
  <c r="D591" i="3" s="1"/>
  <c r="D592" i="3" s="1"/>
  <c r="D593" i="3" s="1"/>
  <c r="D594" i="3" s="1"/>
  <c r="D595" i="3" s="1"/>
  <c r="D596" i="3" s="1"/>
  <c r="D597" i="3" s="1"/>
  <c r="D598" i="3" s="1"/>
  <c r="D599" i="3" s="1"/>
  <c r="D600" i="3" s="1"/>
  <c r="D601" i="3" s="1"/>
  <c r="D602" i="3" s="1"/>
  <c r="D603" i="3" s="1"/>
  <c r="D604" i="3" s="1"/>
  <c r="D605" i="3" s="1"/>
  <c r="D606" i="3" s="1"/>
  <c r="D607" i="3" s="1"/>
  <c r="D608" i="3" s="1"/>
  <c r="D609" i="3" s="1"/>
  <c r="D610" i="3" s="1"/>
  <c r="D611" i="3" s="1"/>
  <c r="D612" i="3" s="1"/>
  <c r="D613" i="3" s="1"/>
  <c r="D614" i="3" s="1"/>
  <c r="D615" i="3" s="1"/>
  <c r="D616" i="3" s="1"/>
  <c r="D617" i="3" s="1"/>
  <c r="D618" i="3" s="1"/>
  <c r="D619" i="3" s="1"/>
  <c r="D620" i="3" s="1"/>
  <c r="D621" i="3" s="1"/>
  <c r="D622" i="3" s="1"/>
  <c r="D623" i="3" s="1"/>
  <c r="D624" i="3" s="1"/>
  <c r="D625" i="3" s="1"/>
  <c r="D626" i="3" s="1"/>
  <c r="D627" i="3" s="1"/>
  <c r="D628" i="3" s="1"/>
  <c r="D629" i="3" s="1"/>
  <c r="D630" i="3" s="1"/>
  <c r="D631" i="3" s="1"/>
  <c r="D632" i="3" s="1"/>
  <c r="D633" i="3" s="1"/>
  <c r="D634" i="3" s="1"/>
  <c r="D635" i="3" s="1"/>
  <c r="D636" i="3" s="1"/>
  <c r="D637" i="3" s="1"/>
  <c r="D638" i="3" s="1"/>
  <c r="D639" i="3" s="1"/>
  <c r="D640" i="3" s="1"/>
  <c r="D641" i="3" s="1"/>
  <c r="D642" i="3" s="1"/>
  <c r="D643" i="3" s="1"/>
  <c r="D644" i="3" s="1"/>
  <c r="D645" i="3" s="1"/>
  <c r="D646" i="3" s="1"/>
  <c r="D647" i="3" s="1"/>
  <c r="D648" i="3" s="1"/>
  <c r="D649" i="3" s="1"/>
  <c r="D650" i="3" s="1"/>
  <c r="D651" i="3" s="1"/>
  <c r="D652" i="3" s="1"/>
  <c r="D653" i="3" s="1"/>
  <c r="D654" i="3" s="1"/>
  <c r="D655" i="3" s="1"/>
  <c r="D656" i="3" s="1"/>
  <c r="D657" i="3" s="1"/>
  <c r="D658" i="3" s="1"/>
  <c r="D659" i="3" s="1"/>
  <c r="D660" i="3" s="1"/>
  <c r="D661" i="3" s="1"/>
  <c r="D662" i="3" s="1"/>
  <c r="D663" i="3" s="1"/>
  <c r="D664" i="3" s="1"/>
  <c r="D665" i="3" s="1"/>
  <c r="D666" i="3" s="1"/>
  <c r="D667" i="3" s="1"/>
  <c r="D668" i="3" s="1"/>
  <c r="D669" i="3" s="1"/>
  <c r="D670" i="3" s="1"/>
  <c r="D671" i="3" s="1"/>
  <c r="D672" i="3" s="1"/>
  <c r="D673" i="3" s="1"/>
  <c r="D674" i="3" s="1"/>
  <c r="D675" i="3" s="1"/>
  <c r="D676" i="3" s="1"/>
  <c r="D677" i="3" s="1"/>
  <c r="D678" i="3" s="1"/>
  <c r="D679" i="3" s="1"/>
  <c r="D680" i="3" s="1"/>
  <c r="D681" i="3" s="1"/>
  <c r="D682" i="3" s="1"/>
  <c r="D683" i="3" s="1"/>
  <c r="D684" i="3" s="1"/>
  <c r="D685" i="3" s="1"/>
  <c r="D686" i="3" s="1"/>
  <c r="D687" i="3" s="1"/>
  <c r="D688" i="3" s="1"/>
  <c r="D689" i="3" s="1"/>
  <c r="D690" i="3" s="1"/>
  <c r="D691" i="3" s="1"/>
  <c r="D692" i="3" s="1"/>
  <c r="D693" i="3" s="1"/>
  <c r="D694" i="3" s="1"/>
  <c r="D695" i="3" s="1"/>
  <c r="D696" i="3" s="1"/>
  <c r="D697" i="3" s="1"/>
  <c r="D698" i="3" s="1"/>
  <c r="D699" i="3" s="1"/>
  <c r="D700" i="3" s="1"/>
  <c r="D701" i="3" s="1"/>
  <c r="D702" i="3" s="1"/>
  <c r="D703" i="3" s="1"/>
  <c r="D704" i="3" s="1"/>
  <c r="D705" i="3" s="1"/>
  <c r="D706" i="3" s="1"/>
  <c r="D707" i="3" s="1"/>
  <c r="D708" i="3" s="1"/>
  <c r="D709" i="3" s="1"/>
  <c r="D710" i="3" s="1"/>
  <c r="D711" i="3" s="1"/>
  <c r="D712" i="3" s="1"/>
  <c r="D713" i="3" s="1"/>
  <c r="D714" i="3" s="1"/>
  <c r="D715" i="3" s="1"/>
  <c r="D716" i="3" s="1"/>
  <c r="D717" i="3" s="1"/>
  <c r="D718" i="3" s="1"/>
  <c r="D719" i="3" s="1"/>
  <c r="D720" i="3" s="1"/>
  <c r="D721" i="3" s="1"/>
  <c r="D722" i="3" s="1"/>
  <c r="D723" i="3" s="1"/>
  <c r="D724" i="3" s="1"/>
  <c r="D725" i="3" s="1"/>
  <c r="D726" i="3" s="1"/>
  <c r="D727" i="3" s="1"/>
  <c r="D728" i="3" s="1"/>
  <c r="D729" i="3" s="1"/>
  <c r="D730" i="3" s="1"/>
  <c r="D731" i="3" s="1"/>
  <c r="D732" i="3" s="1"/>
  <c r="D733" i="3" s="1"/>
  <c r="P196" i="1" l="1"/>
  <c r="P195" i="1" s="1"/>
  <c r="P199" i="1" s="1"/>
  <c r="O363" i="1"/>
  <c r="O307" i="1"/>
  <c r="I59" i="5" s="1"/>
  <c r="O7" i="1"/>
  <c r="P7" i="1" s="1"/>
  <c r="Q7" i="1" s="1"/>
  <c r="H5" i="5"/>
  <c r="H6" i="5" s="1"/>
  <c r="P190" i="1"/>
  <c r="P189" i="1" s="1"/>
  <c r="O503" i="1"/>
  <c r="O507" i="1" s="1"/>
  <c r="I76" i="5" s="1"/>
  <c r="N420" i="1"/>
  <c r="H67" i="5" s="1"/>
  <c r="J13" i="5"/>
  <c r="O362" i="1"/>
  <c r="O458" i="1"/>
  <c r="O357" i="1"/>
  <c r="O360" i="1"/>
  <c r="O299" i="1"/>
  <c r="I58" i="5" s="1"/>
  <c r="O418" i="1"/>
  <c r="O420" i="1" s="1"/>
  <c r="I67" i="5" s="1"/>
  <c r="P354" i="1"/>
  <c r="P305" i="1"/>
  <c r="P306" i="1" s="1"/>
  <c r="P359" i="1"/>
  <c r="P482" i="1"/>
  <c r="O454" i="1"/>
  <c r="P356" i="1"/>
  <c r="P416" i="1"/>
  <c r="P518" i="1"/>
  <c r="P296" i="1"/>
  <c r="Q296" i="1" s="1"/>
  <c r="T296" i="1" s="1"/>
  <c r="O255" i="1"/>
  <c r="O259" i="1" s="1"/>
  <c r="I54" i="5" s="1"/>
  <c r="I21" i="5"/>
  <c r="O488" i="1"/>
  <c r="P526" i="1"/>
  <c r="P525" i="1" s="1"/>
  <c r="O490" i="1"/>
  <c r="O499" i="1" s="1"/>
  <c r="O522" i="1"/>
  <c r="N528" i="1"/>
  <c r="H79" i="5" s="1"/>
  <c r="P523" i="1"/>
  <c r="P491" i="1"/>
  <c r="Q495" i="1"/>
  <c r="T495" i="1" s="1"/>
  <c r="Q486" i="1"/>
  <c r="T486" i="1" s="1"/>
  <c r="P483" i="1"/>
  <c r="N498" i="1"/>
  <c r="N494" i="1"/>
  <c r="N489" i="1"/>
  <c r="P484" i="1"/>
  <c r="O520" i="1"/>
  <c r="I78" i="5" s="1"/>
  <c r="Q509" i="1"/>
  <c r="Q512" i="1" s="1"/>
  <c r="M509" i="1"/>
  <c r="P515" i="1"/>
  <c r="P509" i="1"/>
  <c r="P512" i="1" s="1"/>
  <c r="J77" i="5" s="1"/>
  <c r="P519" i="1"/>
  <c r="P516" i="1"/>
  <c r="O509" i="1"/>
  <c r="O512" i="1" s="1"/>
  <c r="I77" i="5" s="1"/>
  <c r="N509" i="1"/>
  <c r="N512" i="1" s="1"/>
  <c r="H77" i="5" s="1"/>
  <c r="R509" i="1"/>
  <c r="R512" i="1" s="1"/>
  <c r="L77" i="5" s="1"/>
  <c r="P514" i="1"/>
  <c r="R403" i="1"/>
  <c r="L65" i="5" s="1"/>
  <c r="T403" i="1"/>
  <c r="O465" i="1"/>
  <c r="O457" i="1"/>
  <c r="P456" i="1"/>
  <c r="P457" i="1" s="1"/>
  <c r="R479" i="1"/>
  <c r="L74" i="5" s="1"/>
  <c r="T479" i="1"/>
  <c r="M420" i="1"/>
  <c r="G67" i="5" s="1"/>
  <c r="M450" i="1"/>
  <c r="G71" i="5" s="1"/>
  <c r="O467" i="1"/>
  <c r="O469" i="1"/>
  <c r="O462" i="1"/>
  <c r="O468" i="1"/>
  <c r="O463" i="1"/>
  <c r="P442" i="1"/>
  <c r="P464" i="1"/>
  <c r="N460" i="1"/>
  <c r="H72" i="5" s="1"/>
  <c r="R470" i="1"/>
  <c r="T470" i="1" s="1"/>
  <c r="R466" i="1"/>
  <c r="T466" i="1" s="1"/>
  <c r="Q442" i="1"/>
  <c r="Q364" i="1"/>
  <c r="T364" i="1" s="1"/>
  <c r="M460" i="1"/>
  <c r="G72" i="5" s="1"/>
  <c r="N507" i="1"/>
  <c r="H76" i="5" s="1"/>
  <c r="O453" i="1"/>
  <c r="P443" i="1"/>
  <c r="P444" i="1"/>
  <c r="P427" i="1"/>
  <c r="P429" i="1"/>
  <c r="P430" i="1"/>
  <c r="N353" i="1"/>
  <c r="M370" i="1"/>
  <c r="G62" i="5" s="1"/>
  <c r="M473" i="1"/>
  <c r="G73" i="5" s="1"/>
  <c r="P504" i="1"/>
  <c r="P471" i="1"/>
  <c r="N358" i="1"/>
  <c r="O358" i="1" s="1"/>
  <c r="O431" i="1"/>
  <c r="I69" i="5" s="1"/>
  <c r="O443" i="1"/>
  <c r="O444" i="1"/>
  <c r="P506" i="1"/>
  <c r="N473" i="1"/>
  <c r="H73" i="5" s="1"/>
  <c r="O424" i="1"/>
  <c r="O425" i="1" s="1"/>
  <c r="I68" i="5" s="1"/>
  <c r="O405" i="1"/>
  <c r="N425" i="1"/>
  <c r="H68" i="5" s="1"/>
  <c r="N408" i="1"/>
  <c r="N407" i="1"/>
  <c r="P422" i="1"/>
  <c r="P302" i="1"/>
  <c r="P284" i="1"/>
  <c r="P345" i="1"/>
  <c r="Q295" i="1"/>
  <c r="T295" i="1" s="1"/>
  <c r="Q344" i="1"/>
  <c r="Q349" i="1" s="1"/>
  <c r="T349" i="1" s="1"/>
  <c r="Q286" i="1"/>
  <c r="T286" i="1" s="1"/>
  <c r="Q287" i="1"/>
  <c r="T287" i="1" s="1"/>
  <c r="O291" i="1"/>
  <c r="O289" i="1"/>
  <c r="P285" i="1"/>
  <c r="O290" i="1" s="1"/>
  <c r="P297" i="1"/>
  <c r="P346" i="1"/>
  <c r="N292" i="1"/>
  <c r="H57" i="5" s="1"/>
  <c r="O351" i="1"/>
  <c r="I61" i="5" s="1"/>
  <c r="P347" i="1"/>
  <c r="O264" i="1"/>
  <c r="O263" i="1"/>
  <c r="N265" i="1"/>
  <c r="H55" i="5" s="1"/>
  <c r="M271" i="1"/>
  <c r="T271" i="1" s="1"/>
  <c r="M275" i="1"/>
  <c r="M274" i="1"/>
  <c r="M276" i="1"/>
  <c r="M272" i="1"/>
  <c r="Q268" i="1"/>
  <c r="T268" i="1" s="1"/>
  <c r="Q269" i="1"/>
  <c r="T269" i="1" s="1"/>
  <c r="Q267" i="1"/>
  <c r="T267" i="1" s="1"/>
  <c r="N91" i="1"/>
  <c r="N102" i="1" s="1"/>
  <c r="H32" i="5" s="1"/>
  <c r="N270" i="1"/>
  <c r="M265" i="1"/>
  <c r="G55" i="5" s="1"/>
  <c r="P261" i="1"/>
  <c r="L54" i="5"/>
  <c r="N89" i="1"/>
  <c r="H31" i="5" s="1"/>
  <c r="N255" i="1"/>
  <c r="N259" i="1" s="1"/>
  <c r="P219" i="1"/>
  <c r="P220" i="1" s="1"/>
  <c r="P73" i="1"/>
  <c r="O229" i="1"/>
  <c r="I48" i="5" s="1"/>
  <c r="P233" i="1"/>
  <c r="P234" i="1" s="1"/>
  <c r="J49" i="5" s="1"/>
  <c r="P54" i="1"/>
  <c r="O562" i="1"/>
  <c r="I87" i="5" s="1"/>
  <c r="P224" i="1"/>
  <c r="P42" i="1"/>
  <c r="Q44" i="1"/>
  <c r="T44" i="1" s="1"/>
  <c r="Q46" i="1"/>
  <c r="T46" i="1" s="1"/>
  <c r="Q48" i="1"/>
  <c r="T48" i="1" s="1"/>
  <c r="Q232" i="1"/>
  <c r="Q231" i="1" s="1"/>
  <c r="Q214" i="1"/>
  <c r="Q43" i="1"/>
  <c r="T43" i="1" s="1"/>
  <c r="Q45" i="1"/>
  <c r="T45" i="1" s="1"/>
  <c r="Q202" i="1"/>
  <c r="Q201" i="1" s="1"/>
  <c r="Q205" i="1" s="1"/>
  <c r="Q208" i="1"/>
  <c r="Q215" i="1"/>
  <c r="Q217" i="1"/>
  <c r="P221" i="1"/>
  <c r="P222" i="1"/>
  <c r="P50" i="1"/>
  <c r="P223" i="1"/>
  <c r="P47" i="1"/>
  <c r="P218" i="1"/>
  <c r="P72" i="1"/>
  <c r="O234" i="1"/>
  <c r="I49" i="5" s="1"/>
  <c r="P201" i="1"/>
  <c r="O81" i="1"/>
  <c r="I30" i="5" s="1"/>
  <c r="O195" i="1"/>
  <c r="Q178" i="1"/>
  <c r="T178" i="1" s="1"/>
  <c r="Q167" i="1"/>
  <c r="T167" i="1" s="1"/>
  <c r="Q184" i="1"/>
  <c r="T184" i="1" s="1"/>
  <c r="Q172" i="1"/>
  <c r="Q171" i="1" s="1"/>
  <c r="P177" i="1"/>
  <c r="P183" i="1"/>
  <c r="Q118" i="1"/>
  <c r="T118" i="1" s="1"/>
  <c r="Q122" i="1"/>
  <c r="T122" i="1" s="1"/>
  <c r="Q119" i="1"/>
  <c r="T119" i="1" s="1"/>
  <c r="Q123" i="1"/>
  <c r="T123" i="1" s="1"/>
  <c r="Q120" i="1"/>
  <c r="T120" i="1" s="1"/>
  <c r="Q124" i="1"/>
  <c r="T124" i="1" s="1"/>
  <c r="Q117" i="1"/>
  <c r="Q121" i="1"/>
  <c r="T121" i="1" s="1"/>
  <c r="T256" i="1"/>
  <c r="O153" i="1"/>
  <c r="N251" i="1"/>
  <c r="H38" i="5"/>
  <c r="H51" i="5" s="1"/>
  <c r="Q143" i="1"/>
  <c r="T143" i="1" s="1"/>
  <c r="Q140" i="1"/>
  <c r="T140" i="1" s="1"/>
  <c r="Q141" i="1"/>
  <c r="T141" i="1" s="1"/>
  <c r="Q142" i="1"/>
  <c r="T142" i="1" s="1"/>
  <c r="P169" i="1"/>
  <c r="J40" i="5" s="1"/>
  <c r="P138" i="1"/>
  <c r="H30" i="5"/>
  <c r="Q555" i="1"/>
  <c r="T555" i="1" s="1"/>
  <c r="Q559" i="1"/>
  <c r="T559" i="1" s="1"/>
  <c r="Q560" i="1"/>
  <c r="T560" i="1" s="1"/>
  <c r="Q553" i="1"/>
  <c r="Q557" i="1"/>
  <c r="T557" i="1" s="1"/>
  <c r="Q558" i="1"/>
  <c r="T558" i="1" s="1"/>
  <c r="J60" i="5"/>
  <c r="P554" i="1"/>
  <c r="P556" i="1"/>
  <c r="J8" i="5"/>
  <c r="J65" i="5"/>
  <c r="J41" i="5"/>
  <c r="J10" i="5"/>
  <c r="J50" i="5"/>
  <c r="J47" i="5"/>
  <c r="P575" i="1"/>
  <c r="P574" i="1"/>
  <c r="P573" i="1"/>
  <c r="P567" i="1"/>
  <c r="J11" i="5"/>
  <c r="J70" i="5"/>
  <c r="J74" i="5"/>
  <c r="O587" i="1"/>
  <c r="I90" i="5" s="1"/>
  <c r="P589" i="1"/>
  <c r="P564" i="1"/>
  <c r="O92" i="1"/>
  <c r="M89" i="1"/>
  <c r="P565" i="1"/>
  <c r="P133" i="1"/>
  <c r="J34" i="5" s="1"/>
  <c r="O582" i="1"/>
  <c r="I89" i="5" s="1"/>
  <c r="K3" i="5"/>
  <c r="Q590" i="1"/>
  <c r="T590" i="1" s="1"/>
  <c r="Q104" i="1"/>
  <c r="J39" i="5"/>
  <c r="J63" i="5"/>
  <c r="J45" i="5"/>
  <c r="J64" i="5"/>
  <c r="M91" i="1"/>
  <c r="P584" i="1"/>
  <c r="P587" i="1" s="1"/>
  <c r="J90" i="5" s="1"/>
  <c r="P568" i="1"/>
  <c r="L24" i="5"/>
  <c r="H27" i="5"/>
  <c r="I9" i="5"/>
  <c r="N68" i="1"/>
  <c r="O52" i="1"/>
  <c r="I24" i="5" s="1"/>
  <c r="O21" i="1"/>
  <c r="I15" i="5"/>
  <c r="I16" i="5" s="1"/>
  <c r="F94" i="5"/>
  <c r="F28" i="8" s="1"/>
  <c r="J7" i="5"/>
  <c r="O38" i="1"/>
  <c r="Q12" i="1"/>
  <c r="Q11" i="1"/>
  <c r="Q441" i="1" s="1"/>
  <c r="Q9" i="1"/>
  <c r="Q428" i="1" s="1"/>
  <c r="T428" i="1" s="1"/>
  <c r="Q8" i="1"/>
  <c r="Q491" i="1" s="1"/>
  <c r="P20" i="1"/>
  <c r="P67" i="1"/>
  <c r="J26" i="5" s="1"/>
  <c r="T62" i="1"/>
  <c r="T64" i="1"/>
  <c r="T66" i="1"/>
  <c r="Q33" i="1"/>
  <c r="T33" i="1" s="1"/>
  <c r="T35" i="1"/>
  <c r="T27" i="1"/>
  <c r="T29" i="1"/>
  <c r="Q17" i="1"/>
  <c r="T17" i="1" s="1"/>
  <c r="T19" i="1"/>
  <c r="Q32" i="1"/>
  <c r="T63" i="1"/>
  <c r="T65" i="1"/>
  <c r="T34" i="1"/>
  <c r="T36" i="1"/>
  <c r="Q26" i="1"/>
  <c r="T26" i="1" s="1"/>
  <c r="T28" i="1"/>
  <c r="Q16" i="1"/>
  <c r="Q25" i="1"/>
  <c r="T18" i="1"/>
  <c r="P37" i="1"/>
  <c r="J20" i="5" s="1"/>
  <c r="P30" i="1"/>
  <c r="J19" i="5" s="1"/>
  <c r="P10" i="1"/>
  <c r="H5" i="4"/>
  <c r="H6" i="4" s="1"/>
  <c r="H7" i="4"/>
  <c r="H8" i="4" s="1"/>
  <c r="I4" i="4"/>
  <c r="O6" i="1" l="1"/>
  <c r="Q354" i="1"/>
  <c r="T354" i="1" s="1"/>
  <c r="Q196" i="1"/>
  <c r="Q195" i="1" s="1"/>
  <c r="Q199" i="1" s="1"/>
  <c r="I5" i="5"/>
  <c r="I6" i="5" s="1"/>
  <c r="P503" i="1"/>
  <c r="P507" i="1" s="1"/>
  <c r="J76" i="5" s="1"/>
  <c r="O407" i="1"/>
  <c r="P418" i="1"/>
  <c r="K13" i="5"/>
  <c r="P419" i="1"/>
  <c r="P362" i="1"/>
  <c r="P358" i="1"/>
  <c r="Q356" i="1"/>
  <c r="T356" i="1" s="1"/>
  <c r="P360" i="1"/>
  <c r="P363" i="1"/>
  <c r="Q305" i="1"/>
  <c r="Q304" i="1" s="1"/>
  <c r="P304" i="1"/>
  <c r="P307" i="1" s="1"/>
  <c r="J59" i="5" s="1"/>
  <c r="Q359" i="1"/>
  <c r="P357" i="1"/>
  <c r="Q482" i="1"/>
  <c r="T482" i="1" s="1"/>
  <c r="Q416" i="1"/>
  <c r="P299" i="1"/>
  <c r="J58" i="5" s="1"/>
  <c r="Q518" i="1"/>
  <c r="T518" i="1" s="1"/>
  <c r="Q302" i="1"/>
  <c r="T302" i="1" s="1"/>
  <c r="O494" i="1"/>
  <c r="I27" i="5"/>
  <c r="O498" i="1"/>
  <c r="Q526" i="1"/>
  <c r="Q523" i="1"/>
  <c r="T523" i="1" s="1"/>
  <c r="P522" i="1"/>
  <c r="O528" i="1"/>
  <c r="I79" i="5" s="1"/>
  <c r="T491" i="1"/>
  <c r="Q484" i="1"/>
  <c r="T484" i="1" s="1"/>
  <c r="Q487" i="1"/>
  <c r="T487" i="1" s="1"/>
  <c r="Q483" i="1"/>
  <c r="T483" i="1" s="1"/>
  <c r="O489" i="1"/>
  <c r="P490" i="1"/>
  <c r="P499" i="1" s="1"/>
  <c r="P488" i="1"/>
  <c r="N500" i="1"/>
  <c r="H75" i="5" s="1"/>
  <c r="P465" i="1"/>
  <c r="Q514" i="1"/>
  <c r="T514" i="1" s="1"/>
  <c r="Q515" i="1"/>
  <c r="T515" i="1" s="1"/>
  <c r="P520" i="1"/>
  <c r="J78" i="5" s="1"/>
  <c r="T509" i="1"/>
  <c r="T512" i="1" s="1"/>
  <c r="M512" i="1"/>
  <c r="G77" i="5" s="1"/>
  <c r="Q464" i="1"/>
  <c r="T464" i="1" s="1"/>
  <c r="Q519" i="1"/>
  <c r="T519" i="1" s="1"/>
  <c r="Q516" i="1"/>
  <c r="T516" i="1" s="1"/>
  <c r="P453" i="1"/>
  <c r="P452" i="1"/>
  <c r="P454" i="1"/>
  <c r="P458" i="1"/>
  <c r="P450" i="1"/>
  <c r="J71" i="5" s="1"/>
  <c r="O460" i="1"/>
  <c r="I72" i="5" s="1"/>
  <c r="O450" i="1"/>
  <c r="I71" i="5" s="1"/>
  <c r="P431" i="1"/>
  <c r="J69" i="5" s="1"/>
  <c r="T442" i="1"/>
  <c r="Q443" i="1"/>
  <c r="T443" i="1" s="1"/>
  <c r="Q444" i="1"/>
  <c r="T444" i="1" s="1"/>
  <c r="T441" i="1"/>
  <c r="Q506" i="1"/>
  <c r="Q430" i="1"/>
  <c r="T430" i="1" s="1"/>
  <c r="Q429" i="1"/>
  <c r="T429" i="1" s="1"/>
  <c r="Q427" i="1"/>
  <c r="R427" i="1" s="1"/>
  <c r="R431" i="1" s="1"/>
  <c r="L69" i="5" s="1"/>
  <c r="Q504" i="1"/>
  <c r="T504" i="1" s="1"/>
  <c r="Q456" i="1"/>
  <c r="Q471" i="1"/>
  <c r="T471" i="1" s="1"/>
  <c r="P467" i="1"/>
  <c r="P462" i="1"/>
  <c r="P469" i="1"/>
  <c r="P463" i="1"/>
  <c r="P468" i="1"/>
  <c r="O353" i="1"/>
  <c r="N370" i="1"/>
  <c r="H62" i="5" s="1"/>
  <c r="O473" i="1"/>
  <c r="I73" i="5" s="1"/>
  <c r="O408" i="1"/>
  <c r="N414" i="1"/>
  <c r="H66" i="5" s="1"/>
  <c r="P423" i="1"/>
  <c r="P405" i="1"/>
  <c r="P424" i="1"/>
  <c r="T117" i="1"/>
  <c r="T133" i="1" s="1"/>
  <c r="Q422" i="1"/>
  <c r="Q405" i="1" s="1"/>
  <c r="T344" i="1"/>
  <c r="L27" i="5"/>
  <c r="Q345" i="1"/>
  <c r="T345" i="1" s="1"/>
  <c r="Q285" i="1"/>
  <c r="Q291" i="1" s="1"/>
  <c r="P351" i="1"/>
  <c r="J61" i="5" s="1"/>
  <c r="Q284" i="1"/>
  <c r="T284" i="1" s="1"/>
  <c r="Q347" i="1"/>
  <c r="T347" i="1" s="1"/>
  <c r="Q297" i="1"/>
  <c r="T297" i="1" s="1"/>
  <c r="T299" i="1" s="1"/>
  <c r="P291" i="1"/>
  <c r="P289" i="1"/>
  <c r="Q346" i="1"/>
  <c r="T346" i="1" s="1"/>
  <c r="O292" i="1"/>
  <c r="I57" i="5" s="1"/>
  <c r="O265" i="1"/>
  <c r="I55" i="5" s="1"/>
  <c r="O91" i="1"/>
  <c r="O102" i="1" s="1"/>
  <c r="I32" i="5" s="1"/>
  <c r="I35" i="5" s="1"/>
  <c r="O270" i="1"/>
  <c r="P262" i="1"/>
  <c r="P263" i="1"/>
  <c r="P264" i="1"/>
  <c r="R72" i="1"/>
  <c r="R81" i="1" s="1"/>
  <c r="R261" i="1"/>
  <c r="Q261" i="1"/>
  <c r="N272" i="1"/>
  <c r="N274" i="1"/>
  <c r="N276" i="1"/>
  <c r="N275" i="1"/>
  <c r="M282" i="1"/>
  <c r="G56" i="5" s="1"/>
  <c r="H35" i="5"/>
  <c r="H54" i="5"/>
  <c r="N134" i="1"/>
  <c r="T202" i="1"/>
  <c r="Q223" i="1"/>
  <c r="T223" i="1" s="1"/>
  <c r="Q233" i="1"/>
  <c r="T233" i="1" s="1"/>
  <c r="Q221" i="1"/>
  <c r="T221" i="1" s="1"/>
  <c r="Q222" i="1"/>
  <c r="T222" i="1" s="1"/>
  <c r="Q73" i="1"/>
  <c r="T73" i="1" s="1"/>
  <c r="T215" i="1"/>
  <c r="Q218" i="1"/>
  <c r="T218" i="1" s="1"/>
  <c r="P229" i="1"/>
  <c r="J48" i="5" s="1"/>
  <c r="Q42" i="1"/>
  <c r="T42" i="1" s="1"/>
  <c r="T232" i="1"/>
  <c r="Q50" i="1"/>
  <c r="T50" i="1" s="1"/>
  <c r="Q224" i="1"/>
  <c r="T224" i="1" s="1"/>
  <c r="Q207" i="1"/>
  <c r="Q212" i="1" s="1"/>
  <c r="K47" i="5" s="1"/>
  <c r="T208" i="1"/>
  <c r="Q54" i="1"/>
  <c r="Q59" i="1" s="1"/>
  <c r="K25" i="5" s="1"/>
  <c r="Q47" i="1"/>
  <c r="T47" i="1" s="1"/>
  <c r="T217" i="1"/>
  <c r="Q219" i="1"/>
  <c r="T231" i="1"/>
  <c r="Q72" i="1"/>
  <c r="T214" i="1"/>
  <c r="P193" i="1"/>
  <c r="J44" i="5" s="1"/>
  <c r="Q190" i="1"/>
  <c r="Q166" i="1"/>
  <c r="Q169" i="1" s="1"/>
  <c r="K40" i="5" s="1"/>
  <c r="M40" i="5" s="1"/>
  <c r="O199" i="1"/>
  <c r="I45" i="5" s="1"/>
  <c r="T201" i="1"/>
  <c r="P205" i="1"/>
  <c r="J46" i="5" s="1"/>
  <c r="T172" i="1"/>
  <c r="Q183" i="1"/>
  <c r="Q187" i="1" s="1"/>
  <c r="K43" i="5" s="1"/>
  <c r="Q177" i="1"/>
  <c r="Q181" i="1" s="1"/>
  <c r="K42" i="5" s="1"/>
  <c r="P181" i="1"/>
  <c r="J42" i="5" s="1"/>
  <c r="Q175" i="1"/>
  <c r="K41" i="5" s="1"/>
  <c r="M41" i="5" s="1"/>
  <c r="T171" i="1"/>
  <c r="P187" i="1"/>
  <c r="J43" i="5" s="1"/>
  <c r="M259" i="1"/>
  <c r="I38" i="5"/>
  <c r="Q138" i="1"/>
  <c r="T138" i="1" s="1"/>
  <c r="P139" i="1"/>
  <c r="P153" i="1" s="1"/>
  <c r="J21" i="5"/>
  <c r="Q584" i="1"/>
  <c r="Q587" i="1" s="1"/>
  <c r="K90" i="5" s="1"/>
  <c r="M90" i="5" s="1"/>
  <c r="T553" i="1"/>
  <c r="P562" i="1"/>
  <c r="J87" i="5" s="1"/>
  <c r="Q554" i="1"/>
  <c r="Q556" i="1"/>
  <c r="T556" i="1" s="1"/>
  <c r="K60" i="5"/>
  <c r="M60" i="5" s="1"/>
  <c r="K46" i="5"/>
  <c r="Q574" i="1"/>
  <c r="T574" i="1" s="1"/>
  <c r="K70" i="5"/>
  <c r="M70" i="5" s="1"/>
  <c r="Q567" i="1"/>
  <c r="T567" i="1" s="1"/>
  <c r="Q564" i="1"/>
  <c r="T564" i="1" s="1"/>
  <c r="K39" i="5"/>
  <c r="M39" i="5" s="1"/>
  <c r="Q565" i="1"/>
  <c r="T565" i="1" s="1"/>
  <c r="K10" i="5"/>
  <c r="Q133" i="1"/>
  <c r="K34" i="5" s="1"/>
  <c r="M34" i="5" s="1"/>
  <c r="K5" i="5"/>
  <c r="K6" i="5" s="1"/>
  <c r="Q115" i="1"/>
  <c r="J33" i="5" s="1"/>
  <c r="T104" i="1"/>
  <c r="T115" i="1" s="1"/>
  <c r="G31" i="5"/>
  <c r="P81" i="1"/>
  <c r="K50" i="5"/>
  <c r="K45" i="5"/>
  <c r="K64" i="5"/>
  <c r="M64" i="5" s="1"/>
  <c r="K65" i="5"/>
  <c r="M65" i="5" s="1"/>
  <c r="Q568" i="1"/>
  <c r="T568" i="1" s="1"/>
  <c r="Q575" i="1"/>
  <c r="T575" i="1" s="1"/>
  <c r="P592" i="1"/>
  <c r="J91" i="5" s="1"/>
  <c r="P582" i="1"/>
  <c r="J89" i="5" s="1"/>
  <c r="P92" i="1"/>
  <c r="P270" i="1" s="1"/>
  <c r="P83" i="1"/>
  <c r="P255" i="1" s="1"/>
  <c r="P259" i="1" s="1"/>
  <c r="Q589" i="1"/>
  <c r="Q592" i="1" s="1"/>
  <c r="K91" i="5" s="1"/>
  <c r="K11" i="5"/>
  <c r="K74" i="5"/>
  <c r="M74" i="5" s="1"/>
  <c r="K33" i="5"/>
  <c r="P5" i="1"/>
  <c r="J4" i="5" s="1"/>
  <c r="K8" i="5"/>
  <c r="M8" i="5" s="1"/>
  <c r="K63" i="5"/>
  <c r="M63" i="5" s="1"/>
  <c r="K77" i="5"/>
  <c r="M102" i="1"/>
  <c r="G32" i="5" s="1"/>
  <c r="Q573" i="1"/>
  <c r="J9" i="5"/>
  <c r="P59" i="1"/>
  <c r="J25" i="5" s="1"/>
  <c r="O68" i="1"/>
  <c r="P52" i="1"/>
  <c r="J24" i="5" s="1"/>
  <c r="K7" i="5"/>
  <c r="M7" i="5" s="1"/>
  <c r="P21" i="1"/>
  <c r="J15" i="5"/>
  <c r="J16" i="5" s="1"/>
  <c r="P6" i="1"/>
  <c r="J5" i="5"/>
  <c r="J6" i="5" s="1"/>
  <c r="Q10" i="1"/>
  <c r="R10" i="1" s="1"/>
  <c r="T10" i="1" s="1"/>
  <c r="R7" i="1"/>
  <c r="Q6" i="1"/>
  <c r="P38" i="1"/>
  <c r="Q67" i="1"/>
  <c r="K26" i="5" s="1"/>
  <c r="Q30" i="1"/>
  <c r="K19" i="5" s="1"/>
  <c r="M19" i="5" s="1"/>
  <c r="Q37" i="1"/>
  <c r="K20" i="5" s="1"/>
  <c r="M20" i="5" s="1"/>
  <c r="T32" i="1"/>
  <c r="T37" i="1" s="1"/>
  <c r="T25" i="1"/>
  <c r="T30" i="1" s="1"/>
  <c r="T61" i="1"/>
  <c r="T67" i="1" s="1"/>
  <c r="Q20" i="1"/>
  <c r="T16" i="1"/>
  <c r="T20" i="1" s="1"/>
  <c r="I5" i="4"/>
  <c r="I6" i="4" s="1"/>
  <c r="J6" i="4" s="1"/>
  <c r="R463" i="1" s="1"/>
  <c r="I7" i="4"/>
  <c r="I8" i="4" s="1"/>
  <c r="Q5" i="1" s="1"/>
  <c r="K4" i="5" s="1"/>
  <c r="F31" i="8" l="1"/>
  <c r="T205" i="1"/>
  <c r="T195" i="1"/>
  <c r="T196" i="1"/>
  <c r="Q362" i="1"/>
  <c r="T362" i="1" s="1"/>
  <c r="P420" i="1"/>
  <c r="J67" i="5" s="1"/>
  <c r="O414" i="1"/>
  <c r="I66" i="5" s="1"/>
  <c r="T359" i="1"/>
  <c r="T304" i="1"/>
  <c r="T305" i="1"/>
  <c r="Q360" i="1"/>
  <c r="T360" i="1" s="1"/>
  <c r="Q306" i="1"/>
  <c r="T306" i="1" s="1"/>
  <c r="Q363" i="1"/>
  <c r="T363" i="1" s="1"/>
  <c r="Q358" i="1"/>
  <c r="T358" i="1" s="1"/>
  <c r="Q357" i="1"/>
  <c r="T357" i="1" s="1"/>
  <c r="Q488" i="1"/>
  <c r="T488" i="1" s="1"/>
  <c r="Q490" i="1"/>
  <c r="Q499" i="1" s="1"/>
  <c r="T499" i="1" s="1"/>
  <c r="Q522" i="1"/>
  <c r="T522" i="1" s="1"/>
  <c r="P528" i="1"/>
  <c r="J79" i="5" s="1"/>
  <c r="Q525" i="1"/>
  <c r="T525" i="1" s="1"/>
  <c r="T526" i="1"/>
  <c r="P498" i="1"/>
  <c r="P494" i="1"/>
  <c r="P489" i="1"/>
  <c r="O500" i="1"/>
  <c r="I75" i="5" s="1"/>
  <c r="M77" i="5"/>
  <c r="Q453" i="1"/>
  <c r="R453" i="1" s="1"/>
  <c r="T520" i="1"/>
  <c r="Q520" i="1"/>
  <c r="K78" i="5" s="1"/>
  <c r="M78" i="5" s="1"/>
  <c r="P460" i="1"/>
  <c r="J72" i="5" s="1"/>
  <c r="Q450" i="1"/>
  <c r="K71" i="5" s="1"/>
  <c r="M71" i="5" s="1"/>
  <c r="Q431" i="1"/>
  <c r="K69" i="5" s="1"/>
  <c r="M69" i="5" s="1"/>
  <c r="T450" i="1"/>
  <c r="Q454" i="1"/>
  <c r="T454" i="1" s="1"/>
  <c r="Q465" i="1"/>
  <c r="T465" i="1" s="1"/>
  <c r="Q452" i="1"/>
  <c r="Q457" i="1"/>
  <c r="T457" i="1" s="1"/>
  <c r="T456" i="1"/>
  <c r="Q419" i="1"/>
  <c r="T419" i="1" s="1"/>
  <c r="Q418" i="1"/>
  <c r="T418" i="1" s="1"/>
  <c r="T416" i="1"/>
  <c r="Q462" i="1"/>
  <c r="T462" i="1" s="1"/>
  <c r="Q458" i="1"/>
  <c r="P473" i="1"/>
  <c r="J73" i="5" s="1"/>
  <c r="Q469" i="1"/>
  <c r="T469" i="1" s="1"/>
  <c r="P353" i="1"/>
  <c r="O370" i="1"/>
  <c r="I62" i="5" s="1"/>
  <c r="Q463" i="1"/>
  <c r="T463" i="1" s="1"/>
  <c r="Q468" i="1"/>
  <c r="R468" i="1" s="1"/>
  <c r="R473" i="1" s="1"/>
  <c r="T427" i="1"/>
  <c r="T431" i="1" s="1"/>
  <c r="Q503" i="1"/>
  <c r="T506" i="1"/>
  <c r="Q467" i="1"/>
  <c r="T467" i="1" s="1"/>
  <c r="Q408" i="1"/>
  <c r="P407" i="1"/>
  <c r="P408" i="1"/>
  <c r="T405" i="1"/>
  <c r="P425" i="1"/>
  <c r="J68" i="5" s="1"/>
  <c r="Q424" i="1"/>
  <c r="T424" i="1" s="1"/>
  <c r="Q423" i="1"/>
  <c r="T423" i="1" s="1"/>
  <c r="T422" i="1"/>
  <c r="T285" i="1"/>
  <c r="Q290" i="1"/>
  <c r="Q289" i="1"/>
  <c r="T289" i="1" s="1"/>
  <c r="P290" i="1"/>
  <c r="P292" i="1" s="1"/>
  <c r="J57" i="5" s="1"/>
  <c r="Q299" i="1"/>
  <c r="K58" i="5" s="1"/>
  <c r="M58" i="5" s="1"/>
  <c r="T351" i="1"/>
  <c r="T291" i="1"/>
  <c r="Q351" i="1"/>
  <c r="K61" i="5" s="1"/>
  <c r="M61" i="5" s="1"/>
  <c r="O134" i="1"/>
  <c r="P274" i="1"/>
  <c r="P276" i="1"/>
  <c r="P275" i="1"/>
  <c r="P272" i="1"/>
  <c r="Q263" i="1"/>
  <c r="Q262" i="1"/>
  <c r="Q264" i="1"/>
  <c r="R263" i="1"/>
  <c r="R264" i="1"/>
  <c r="R262" i="1"/>
  <c r="T261" i="1"/>
  <c r="O274" i="1"/>
  <c r="O272" i="1"/>
  <c r="O276" i="1"/>
  <c r="O275" i="1"/>
  <c r="N282" i="1"/>
  <c r="P265" i="1"/>
  <c r="J55" i="5" s="1"/>
  <c r="J54" i="5"/>
  <c r="M46" i="5"/>
  <c r="Q234" i="1"/>
  <c r="K49" i="5" s="1"/>
  <c r="M49" i="5" s="1"/>
  <c r="T166" i="1"/>
  <c r="T169" i="1" s="1"/>
  <c r="T234" i="1"/>
  <c r="Q220" i="1"/>
  <c r="T219" i="1"/>
  <c r="Q189" i="1"/>
  <c r="T190" i="1"/>
  <c r="M45" i="5"/>
  <c r="I51" i="5"/>
  <c r="T183" i="1"/>
  <c r="T187" i="1" s="1"/>
  <c r="O251" i="1"/>
  <c r="M43" i="5"/>
  <c r="T175" i="1"/>
  <c r="M42" i="5"/>
  <c r="R212" i="1"/>
  <c r="T207" i="1"/>
  <c r="T212" i="1" s="1"/>
  <c r="T177" i="1"/>
  <c r="T181" i="1" s="1"/>
  <c r="G54" i="5"/>
  <c r="P251" i="1"/>
  <c r="J38" i="5"/>
  <c r="J51" i="5" s="1"/>
  <c r="Q139" i="1"/>
  <c r="Q153" i="1" s="1"/>
  <c r="T584" i="1"/>
  <c r="T587" i="1" s="1"/>
  <c r="Q562" i="1"/>
  <c r="K87" i="5" s="1"/>
  <c r="M87" i="5" s="1"/>
  <c r="T554" i="1"/>
  <c r="T562" i="1" s="1"/>
  <c r="Q582" i="1"/>
  <c r="K89" i="5" s="1"/>
  <c r="M89" i="5" s="1"/>
  <c r="M91" i="5"/>
  <c r="T573" i="1"/>
  <c r="T582" i="1" s="1"/>
  <c r="J30" i="5"/>
  <c r="R134" i="1"/>
  <c r="L30" i="5"/>
  <c r="L35" i="5" s="1"/>
  <c r="M134" i="1"/>
  <c r="P89" i="1"/>
  <c r="J31" i="5" s="1"/>
  <c r="Q81" i="1"/>
  <c r="G35" i="5"/>
  <c r="M33" i="5"/>
  <c r="Q92" i="1"/>
  <c r="Q83" i="1"/>
  <c r="M543" i="1"/>
  <c r="M549" i="1"/>
  <c r="M569" i="1"/>
  <c r="R549" i="1"/>
  <c r="R551" i="1" s="1"/>
  <c r="L86" i="5" s="1"/>
  <c r="N549" i="1"/>
  <c r="N551" i="1" s="1"/>
  <c r="H86" i="5" s="1"/>
  <c r="N543" i="1"/>
  <c r="N547" i="1" s="1"/>
  <c r="N569" i="1"/>
  <c r="N571" i="1" s="1"/>
  <c r="H88" i="5" s="1"/>
  <c r="R543" i="1"/>
  <c r="R547" i="1" s="1"/>
  <c r="R569" i="1"/>
  <c r="R571" i="1" s="1"/>
  <c r="L88" i="5" s="1"/>
  <c r="O543" i="1"/>
  <c r="O547" i="1" s="1"/>
  <c r="O549" i="1"/>
  <c r="O551" i="1" s="1"/>
  <c r="I86" i="5" s="1"/>
  <c r="O569" i="1"/>
  <c r="O571" i="1" s="1"/>
  <c r="I88" i="5" s="1"/>
  <c r="P569" i="1"/>
  <c r="P571" i="1" s="1"/>
  <c r="J88" i="5" s="1"/>
  <c r="P549" i="1"/>
  <c r="P551" i="1" s="1"/>
  <c r="J86" i="5" s="1"/>
  <c r="P543" i="1"/>
  <c r="P547" i="1" s="1"/>
  <c r="Q543" i="1"/>
  <c r="Q547" i="1" s="1"/>
  <c r="Q549" i="1"/>
  <c r="Q551" i="1" s="1"/>
  <c r="K86" i="5" s="1"/>
  <c r="Q569" i="1"/>
  <c r="Q571" i="1" s="1"/>
  <c r="K88" i="5" s="1"/>
  <c r="P91" i="1"/>
  <c r="T589" i="1"/>
  <c r="T592" i="1" s="1"/>
  <c r="T72" i="1"/>
  <c r="T81" i="1" s="1"/>
  <c r="J27" i="5"/>
  <c r="T54" i="1"/>
  <c r="T59" i="1" s="1"/>
  <c r="M25" i="5" s="1"/>
  <c r="P68" i="1"/>
  <c r="K9" i="5"/>
  <c r="L9" i="5" s="1"/>
  <c r="Q52" i="1"/>
  <c r="K24" i="5" s="1"/>
  <c r="T52" i="1"/>
  <c r="M24" i="5" s="1"/>
  <c r="K21" i="5"/>
  <c r="M21" i="5" s="1"/>
  <c r="Q21" i="1"/>
  <c r="K15" i="5"/>
  <c r="T7" i="1"/>
  <c r="L5" i="5"/>
  <c r="L6" i="5" s="1"/>
  <c r="M6" i="5" s="1"/>
  <c r="T21" i="1"/>
  <c r="M26" i="5"/>
  <c r="R6" i="1"/>
  <c r="T38" i="1"/>
  <c r="Q38" i="1"/>
  <c r="T199" i="1" l="1"/>
  <c r="T307" i="1"/>
  <c r="Q307" i="1"/>
  <c r="K59" i="5" s="1"/>
  <c r="M59" i="5" s="1"/>
  <c r="Q494" i="1"/>
  <c r="T494" i="1" s="1"/>
  <c r="T490" i="1"/>
  <c r="Q498" i="1"/>
  <c r="T498" i="1" s="1"/>
  <c r="T528" i="1"/>
  <c r="Q528" i="1"/>
  <c r="K79" i="5" s="1"/>
  <c r="M79" i="5" s="1"/>
  <c r="P500" i="1"/>
  <c r="J75" i="5" s="1"/>
  <c r="Q489" i="1"/>
  <c r="T453" i="1"/>
  <c r="T420" i="1"/>
  <c r="Q420" i="1"/>
  <c r="K67" i="5" s="1"/>
  <c r="M67" i="5" s="1"/>
  <c r="Q507" i="1"/>
  <c r="K76" i="5" s="1"/>
  <c r="R503" i="1"/>
  <c r="R507" i="1" s="1"/>
  <c r="L76" i="5" s="1"/>
  <c r="T468" i="1"/>
  <c r="T473" i="1" s="1"/>
  <c r="Q353" i="1"/>
  <c r="P370" i="1"/>
  <c r="J62" i="5" s="1"/>
  <c r="R458" i="1"/>
  <c r="R460" i="1" s="1"/>
  <c r="L72" i="5" s="1"/>
  <c r="Q460" i="1"/>
  <c r="K72" i="5" s="1"/>
  <c r="T452" i="1"/>
  <c r="Q473" i="1"/>
  <c r="K73" i="5" s="1"/>
  <c r="M73" i="5" s="1"/>
  <c r="T408" i="1"/>
  <c r="Q407" i="1"/>
  <c r="Q414" i="1" s="1"/>
  <c r="K66" i="5" s="1"/>
  <c r="P414" i="1"/>
  <c r="J66" i="5" s="1"/>
  <c r="T425" i="1"/>
  <c r="Q425" i="1"/>
  <c r="K68" i="5" s="1"/>
  <c r="M68" i="5" s="1"/>
  <c r="K27" i="5"/>
  <c r="Q292" i="1"/>
  <c r="K57" i="5" s="1"/>
  <c r="M57" i="5" s="1"/>
  <c r="T290" i="1"/>
  <c r="T292" i="1" s="1"/>
  <c r="T263" i="1"/>
  <c r="T264" i="1"/>
  <c r="T262" i="1"/>
  <c r="P282" i="1"/>
  <c r="J56" i="5" s="1"/>
  <c r="O282" i="1"/>
  <c r="I56" i="5" s="1"/>
  <c r="R265" i="1"/>
  <c r="Q265" i="1"/>
  <c r="K55" i="5" s="1"/>
  <c r="Q91" i="1"/>
  <c r="Q102" i="1" s="1"/>
  <c r="K32" i="5" s="1"/>
  <c r="Q270" i="1"/>
  <c r="H56" i="5"/>
  <c r="Q89" i="1"/>
  <c r="K31" i="5" s="1"/>
  <c r="M31" i="5" s="1"/>
  <c r="Q255" i="1"/>
  <c r="T220" i="1"/>
  <c r="T229" i="1" s="1"/>
  <c r="Q229" i="1"/>
  <c r="K48" i="5" s="1"/>
  <c r="M48" i="5" s="1"/>
  <c r="Q193" i="1"/>
  <c r="K44" i="5" s="1"/>
  <c r="M44" i="5" s="1"/>
  <c r="T189" i="1"/>
  <c r="T193" i="1" s="1"/>
  <c r="L47" i="5"/>
  <c r="T139" i="1"/>
  <c r="T153" i="1" s="1"/>
  <c r="K38" i="5"/>
  <c r="T83" i="1"/>
  <c r="T89" i="1" s="1"/>
  <c r="P593" i="1"/>
  <c r="J85" i="5"/>
  <c r="J92" i="5" s="1"/>
  <c r="O593" i="1"/>
  <c r="I85" i="5"/>
  <c r="I92" i="5" s="1"/>
  <c r="T549" i="1"/>
  <c r="T551" i="1" s="1"/>
  <c r="M551" i="1"/>
  <c r="G86" i="5" s="1"/>
  <c r="M86" i="5" s="1"/>
  <c r="T92" i="1"/>
  <c r="T543" i="1"/>
  <c r="T547" i="1" s="1"/>
  <c r="M547" i="1"/>
  <c r="P102" i="1"/>
  <c r="J32" i="5" s="1"/>
  <c r="J35" i="5" s="1"/>
  <c r="Q593" i="1"/>
  <c r="K85" i="5"/>
  <c r="R593" i="1"/>
  <c r="L85" i="5"/>
  <c r="L92" i="5" s="1"/>
  <c r="K30" i="5"/>
  <c r="T569" i="1"/>
  <c r="T571" i="1" s="1"/>
  <c r="M571" i="1"/>
  <c r="G88" i="5" s="1"/>
  <c r="M88" i="5" s="1"/>
  <c r="N593" i="1"/>
  <c r="H85" i="5"/>
  <c r="H92" i="5" s="1"/>
  <c r="Q68" i="1"/>
  <c r="M9" i="5"/>
  <c r="M102" i="5" s="1"/>
  <c r="L31" i="8" s="1"/>
  <c r="M27" i="5"/>
  <c r="T68" i="1"/>
  <c r="K16" i="5"/>
  <c r="M16" i="5" s="1"/>
  <c r="M15" i="5"/>
  <c r="T6" i="1"/>
  <c r="P535" i="1" l="1"/>
  <c r="P538" i="1" s="1"/>
  <c r="J81" i="5" s="1"/>
  <c r="P530" i="1"/>
  <c r="P533" i="1" s="1"/>
  <c r="J80" i="5" s="1"/>
  <c r="O535" i="1"/>
  <c r="O538" i="1" s="1"/>
  <c r="I81" i="5" s="1"/>
  <c r="O530" i="1"/>
  <c r="O533" i="1" s="1"/>
  <c r="I80" i="5" s="1"/>
  <c r="N530" i="1"/>
  <c r="N533" i="1" s="1"/>
  <c r="N535" i="1"/>
  <c r="N538" i="1" s="1"/>
  <c r="H81" i="5" s="1"/>
  <c r="R489" i="1"/>
  <c r="Q500" i="1"/>
  <c r="K75" i="5" s="1"/>
  <c r="T503" i="1"/>
  <c r="T507" i="1" s="1"/>
  <c r="M72" i="5"/>
  <c r="Q370" i="1"/>
  <c r="K62" i="5" s="1"/>
  <c r="M62" i="5" s="1"/>
  <c r="T353" i="1"/>
  <c r="T370" i="1" s="1"/>
  <c r="M76" i="5"/>
  <c r="T458" i="1"/>
  <c r="T460" i="1" s="1"/>
  <c r="T407" i="1"/>
  <c r="T414" i="1" s="1"/>
  <c r="M66" i="5"/>
  <c r="T265" i="1"/>
  <c r="T91" i="1"/>
  <c r="T102" i="1" s="1"/>
  <c r="T134" i="1" s="1"/>
  <c r="L55" i="5"/>
  <c r="Q275" i="1"/>
  <c r="T275" i="1" s="1"/>
  <c r="Q276" i="1"/>
  <c r="T276" i="1" s="1"/>
  <c r="Q274" i="1"/>
  <c r="Q272" i="1"/>
  <c r="T272" i="1" s="1"/>
  <c r="T270" i="1"/>
  <c r="K35" i="5"/>
  <c r="M35" i="5" s="1"/>
  <c r="Q134" i="1"/>
  <c r="Q259" i="1"/>
  <c r="T255" i="1"/>
  <c r="T259" i="1" s="1"/>
  <c r="Q251" i="1"/>
  <c r="M47" i="5"/>
  <c r="M38" i="5"/>
  <c r="K51" i="5"/>
  <c r="P134" i="1"/>
  <c r="M32" i="5"/>
  <c r="M30" i="5"/>
  <c r="T593" i="1"/>
  <c r="G85" i="5"/>
  <c r="M593" i="1"/>
  <c r="K92" i="5"/>
  <c r="I82" i="5" l="1"/>
  <c r="I94" i="5" s="1"/>
  <c r="J82" i="5"/>
  <c r="J94" i="5" s="1"/>
  <c r="P539" i="1"/>
  <c r="P595" i="1" s="1"/>
  <c r="O539" i="1"/>
  <c r="O595" i="1" s="1"/>
  <c r="G92" i="5"/>
  <c r="M535" i="1"/>
  <c r="M530" i="1"/>
  <c r="H80" i="5"/>
  <c r="H82" i="5" s="1"/>
  <c r="H94" i="5" s="1"/>
  <c r="N539" i="1"/>
  <c r="N595" i="1" s="1"/>
  <c r="R500" i="1"/>
  <c r="T489" i="1"/>
  <c r="T500" i="1" s="1"/>
  <c r="M55" i="5"/>
  <c r="Q282" i="1"/>
  <c r="K56" i="5" s="1"/>
  <c r="M56" i="5" s="1"/>
  <c r="T274" i="1"/>
  <c r="T282" i="1" s="1"/>
  <c r="K54" i="5"/>
  <c r="M85" i="5"/>
  <c r="M95" i="5" l="1"/>
  <c r="Q535" i="1"/>
  <c r="Q538" i="1" s="1"/>
  <c r="K81" i="5" s="1"/>
  <c r="Q530" i="1"/>
  <c r="Q533" i="1" s="1"/>
  <c r="K80" i="5" s="1"/>
  <c r="M533" i="1"/>
  <c r="M92" i="5"/>
  <c r="M538" i="1"/>
  <c r="G81" i="5" s="1"/>
  <c r="L75" i="5"/>
  <c r="M54" i="5"/>
  <c r="K82" i="5" l="1"/>
  <c r="K94" i="5" s="1"/>
  <c r="Q539" i="1"/>
  <c r="Q595" i="1" s="1"/>
  <c r="G80" i="5"/>
  <c r="G82" i="5" s="1"/>
  <c r="G94" i="5" s="1"/>
  <c r="M539" i="1"/>
  <c r="M595" i="1" s="1"/>
  <c r="R530" i="1"/>
  <c r="R535" i="1"/>
  <c r="M75" i="5"/>
  <c r="M97" i="5"/>
  <c r="M96" i="5" l="1"/>
  <c r="L29" i="8" s="1"/>
  <c r="F29" i="8"/>
  <c r="R538" i="1"/>
  <c r="L81" i="5" s="1"/>
  <c r="M81" i="5" s="1"/>
  <c r="T535" i="1"/>
  <c r="T538" i="1" s="1"/>
  <c r="R533" i="1"/>
  <c r="T530" i="1"/>
  <c r="T533" i="1" s="1"/>
  <c r="T237" i="1"/>
  <c r="R236" i="1"/>
  <c r="T236" i="1" s="1"/>
  <c r="T539" i="1" l="1"/>
  <c r="L80" i="5"/>
  <c r="R539" i="1"/>
  <c r="T250" i="1"/>
  <c r="T251" i="1" s="1"/>
  <c r="R250" i="1"/>
  <c r="T595" i="1" l="1"/>
  <c r="M80" i="5"/>
  <c r="L82" i="5"/>
  <c r="R251" i="1"/>
  <c r="R595" i="1" s="1"/>
  <c r="L50" i="5"/>
  <c r="M82" i="5" l="1"/>
  <c r="L51" i="5"/>
  <c r="L94" i="5" s="1"/>
  <c r="M50" i="5"/>
  <c r="F30" i="8" l="1"/>
  <c r="L28" i="8" s="1"/>
  <c r="L30" i="8" s="1"/>
  <c r="M51" i="5"/>
  <c r="M94" i="5" s="1"/>
  <c r="M99" i="5" s="1"/>
</calcChain>
</file>

<file path=xl/sharedStrings.xml><?xml version="1.0" encoding="utf-8"?>
<sst xmlns="http://schemas.openxmlformats.org/spreadsheetml/2006/main" count="2004" uniqueCount="691">
  <si>
    <t xml:space="preserve">PHASE </t>
  </si>
  <si>
    <t xml:space="preserve">CIVIL WORKS </t>
  </si>
  <si>
    <t xml:space="preserve">MOBILIZATION </t>
  </si>
  <si>
    <t xml:space="preserve">SECTION </t>
  </si>
  <si>
    <t>FLAT TIME (DAYS)</t>
  </si>
  <si>
    <t>DRILLING TIME (DAYS)</t>
  </si>
  <si>
    <t xml:space="preserve">TOTAL TIME </t>
  </si>
  <si>
    <t>N/A</t>
  </si>
  <si>
    <t xml:space="preserve">DIAMETERS </t>
  </si>
  <si>
    <t>26"</t>
  </si>
  <si>
    <t>17 1/2"</t>
  </si>
  <si>
    <t>12 1/4"</t>
  </si>
  <si>
    <t>8 1/2"</t>
  </si>
  <si>
    <t>6"</t>
  </si>
  <si>
    <t>INTERMEDIATE CASING 1</t>
  </si>
  <si>
    <t>INTERMEDIATE CASING 2</t>
  </si>
  <si>
    <t>INTERMEDIATE LINER</t>
  </si>
  <si>
    <t>PRODUCTION CASING 1</t>
  </si>
  <si>
    <t>PRODUCTION CASING 2</t>
  </si>
  <si>
    <t>PRODUCTION LINER 1</t>
  </si>
  <si>
    <t>PRODUCTION LINER 2</t>
  </si>
  <si>
    <t>SURFACE</t>
  </si>
  <si>
    <t>SECTION (SELECT)</t>
  </si>
  <si>
    <t>4 1/2"</t>
  </si>
  <si>
    <t>3 1/2"</t>
  </si>
  <si>
    <t>A</t>
  </si>
  <si>
    <t>PHASE 1</t>
  </si>
  <si>
    <t>PHASE 2</t>
  </si>
  <si>
    <t>PHASE 3</t>
  </si>
  <si>
    <t>PHASE 4</t>
  </si>
  <si>
    <t>PHASE 5</t>
  </si>
  <si>
    <t xml:space="preserve">PHASE No. </t>
  </si>
  <si>
    <t>=</t>
  </si>
  <si>
    <t>DATE</t>
  </si>
  <si>
    <t>YES</t>
  </si>
  <si>
    <t>NO</t>
  </si>
  <si>
    <t>INITIAL DAY OF CIVILWORKS</t>
  </si>
  <si>
    <t xml:space="preserve">INITIAL DAY FOR  MOBILIZATION TO THE WELL </t>
  </si>
  <si>
    <t>YESNO</t>
  </si>
  <si>
    <t>DIAMETER DRILL (SELECT)</t>
  </si>
  <si>
    <t xml:space="preserve">DIAMETER CASING/ LINER OR TUBING </t>
  </si>
  <si>
    <t>20"</t>
  </si>
  <si>
    <t>13 3/8"</t>
  </si>
  <si>
    <t>9 5/8"</t>
  </si>
  <si>
    <t>5"</t>
  </si>
  <si>
    <t>7"</t>
  </si>
  <si>
    <t>5 1/2"</t>
  </si>
  <si>
    <t>DIAMETERS_TUBE</t>
  </si>
  <si>
    <t>OPEN HOLE</t>
  </si>
  <si>
    <t xml:space="preserve">YEAR OF BEGINNING </t>
  </si>
  <si>
    <t xml:space="preserve">DEPTH TO REACH </t>
  </si>
  <si>
    <t xml:space="preserve">DIAMETER CASING, LINER OR TUBING </t>
  </si>
  <si>
    <t xml:space="preserve">SECTION IN THE AFE DETAILED </t>
  </si>
  <si>
    <t xml:space="preserve">DIAMETER DRILL </t>
  </si>
  <si>
    <t>DIAMETER IN NUMBER</t>
  </si>
  <si>
    <t>DIAMETERS</t>
  </si>
  <si>
    <t>NUMBER</t>
  </si>
  <si>
    <t>4"</t>
  </si>
  <si>
    <t>DIAMETER CASING, LINER OR TUBING  IN NUMEBER</t>
  </si>
  <si>
    <t>DAY START</t>
  </si>
  <si>
    <t>DAY START LONG</t>
  </si>
  <si>
    <t>DRILLING TIME</t>
  </si>
  <si>
    <t>FLAT TIME</t>
  </si>
  <si>
    <t>DEPTH TARGET</t>
  </si>
  <si>
    <t>TARGET FORMATION</t>
  </si>
  <si>
    <t xml:space="preserve">TOTAL CUMULATIVE  TIME FOR OPERATION ONLY </t>
  </si>
  <si>
    <t xml:space="preserve">TOTAL </t>
  </si>
  <si>
    <t>ITEM</t>
  </si>
  <si>
    <t>COST</t>
  </si>
  <si>
    <t>ACCOUNT</t>
  </si>
  <si>
    <t xml:space="preserve">ACCOUNT DESCRIPTION </t>
  </si>
  <si>
    <t>CONTRACTOR</t>
  </si>
  <si>
    <t>CONTRACT No.</t>
  </si>
  <si>
    <t>A1</t>
  </si>
  <si>
    <t>GEOLOGY FORMATION</t>
  </si>
  <si>
    <t xml:space="preserve">SERVICE </t>
  </si>
  <si>
    <t>SERVICE CODE</t>
  </si>
  <si>
    <t>Land Acquisition</t>
  </si>
  <si>
    <t>Land Rights</t>
  </si>
  <si>
    <t>B</t>
  </si>
  <si>
    <t>B1</t>
  </si>
  <si>
    <t>Construc, Mnt, Clearan of Site &amp; Road</t>
  </si>
  <si>
    <t>LOCATION  AND ROAD CONSTRUCTION &amp; MAINTENANCE</t>
  </si>
  <si>
    <t>Location Construction</t>
  </si>
  <si>
    <t>Location Maintenance</t>
  </si>
  <si>
    <t>ROAD construction and maintenance</t>
  </si>
  <si>
    <t>Purchase LAND and/or access permit cost</t>
  </si>
  <si>
    <t>B2</t>
  </si>
  <si>
    <t>Road Construction</t>
  </si>
  <si>
    <t>Road Maintenance</t>
  </si>
  <si>
    <t>TOTAL road construction and maintenance</t>
  </si>
  <si>
    <t>C</t>
  </si>
  <si>
    <t>Rig Rate</t>
  </si>
  <si>
    <t>C1</t>
  </si>
  <si>
    <t>Daily Rig Rate</t>
  </si>
  <si>
    <t>Daily Stack Rate</t>
  </si>
  <si>
    <t>Equipment LIH / DBR</t>
  </si>
  <si>
    <t>Personnel - Patio Hand</t>
  </si>
  <si>
    <t>Reimbursable</t>
  </si>
  <si>
    <t>Repair Rig</t>
  </si>
  <si>
    <t>TOTAL Rig Rate</t>
  </si>
  <si>
    <t>Catering &amp; Accommodation</t>
  </si>
  <si>
    <t>C2</t>
  </si>
  <si>
    <t>C3</t>
  </si>
  <si>
    <t>TOTAL Catering &amp; Accommodation</t>
  </si>
  <si>
    <t>Mobilization &amp; Demobilization</t>
  </si>
  <si>
    <t>TOTAL Mobilization &amp; Demobilization</t>
  </si>
  <si>
    <t>TOTAL LOCATION  AND ROAD CONSTRUCTION &amp; MAINTENANCE</t>
  </si>
  <si>
    <t xml:space="preserve">Rig Mobilization </t>
  </si>
  <si>
    <t>D</t>
  </si>
  <si>
    <t>WELL CONSUMABLES</t>
  </si>
  <si>
    <t xml:space="preserve">Field desk Consumables &amp; consumables for drilling / Completion </t>
  </si>
  <si>
    <t>D1</t>
  </si>
  <si>
    <t xml:space="preserve">TOTAL Field desk Consumables &amp; consumables for drilling / Completion </t>
  </si>
  <si>
    <t>FIELD ALLOCATION</t>
  </si>
  <si>
    <t>Wood for Pipe Racks</t>
  </si>
  <si>
    <t>Paper/Office Supplies</t>
  </si>
  <si>
    <t>Safety Equipment/ALL</t>
  </si>
  <si>
    <t>D2</t>
  </si>
  <si>
    <t>Mud/Fluids Chemicals</t>
  </si>
  <si>
    <t>Mud, Fluids &amp; Chemicals</t>
  </si>
  <si>
    <t>Fluids / Chemicals</t>
  </si>
  <si>
    <t xml:space="preserve">Chemical treatment </t>
  </si>
  <si>
    <t>D3</t>
  </si>
  <si>
    <t>Cement &amp; Additives</t>
  </si>
  <si>
    <t>Accessories &amp; Consumables</t>
  </si>
  <si>
    <t xml:space="preserve">Cement &amp; Additives </t>
  </si>
  <si>
    <t>TOTAL Cement &amp; Additives</t>
  </si>
  <si>
    <t>Diesel</t>
  </si>
  <si>
    <t>D4</t>
  </si>
  <si>
    <t>TOTAL Diesel</t>
  </si>
  <si>
    <t>D5</t>
  </si>
  <si>
    <t>BITS</t>
  </si>
  <si>
    <t>TOTAL BITS</t>
  </si>
  <si>
    <t>Bits</t>
  </si>
  <si>
    <t>Core Bits Buy</t>
  </si>
  <si>
    <t xml:space="preserve">Core Bits Rental </t>
  </si>
  <si>
    <t>Impregnated Bits Buy</t>
  </si>
  <si>
    <t>Impregnated Bits Rental</t>
  </si>
  <si>
    <t>PDC Bits Buy</t>
  </si>
  <si>
    <t>PDC Bits Rental</t>
  </si>
  <si>
    <t>Tricone Bits Buy</t>
  </si>
  <si>
    <t>Tricone Bits Rental</t>
  </si>
  <si>
    <t>TOTAL WELL CONSUMABLES</t>
  </si>
  <si>
    <t>E</t>
  </si>
  <si>
    <t>E1</t>
  </si>
  <si>
    <t>TANGIBLE CONSUMABLES</t>
  </si>
  <si>
    <t>Wellhead/Casing Head Equipment</t>
  </si>
  <si>
    <t>Wellhead &amp; Casing Heads Equipment</t>
  </si>
  <si>
    <t>Accessories consumables</t>
  </si>
  <si>
    <t>Installation services and test</t>
  </si>
  <si>
    <t>Section A Casing Head</t>
  </si>
  <si>
    <t>Section B Casing Spool</t>
  </si>
  <si>
    <t>Section C Casing Spool</t>
  </si>
  <si>
    <t>Section D Casing Spool</t>
  </si>
  <si>
    <t>TOTAL Wellhead/Casing Head Equipment</t>
  </si>
  <si>
    <t>E2</t>
  </si>
  <si>
    <t>Tubing Head &amp; Christmas Tree</t>
  </si>
  <si>
    <t>TOTAL Tubing Head &amp; Christmas Tree</t>
  </si>
  <si>
    <t>Accessories Consumables</t>
  </si>
  <si>
    <t>Christmas tree</t>
  </si>
  <si>
    <t>Tubing head</t>
  </si>
  <si>
    <t>E3</t>
  </si>
  <si>
    <t>Conductor Casing</t>
  </si>
  <si>
    <t>Surface Casing</t>
  </si>
  <si>
    <t>Surface casing</t>
  </si>
  <si>
    <t>Conductor  casing</t>
  </si>
  <si>
    <t>E4</t>
  </si>
  <si>
    <t>E5</t>
  </si>
  <si>
    <t>TOTAL Surface Casing</t>
  </si>
  <si>
    <t>Intermediate Casing #1</t>
  </si>
  <si>
    <t>E6</t>
  </si>
  <si>
    <t>TOTAL Intermediate Casing #1</t>
  </si>
  <si>
    <t>Intermediate Casing 1</t>
  </si>
  <si>
    <t xml:space="preserve">Intermediate casing 1 </t>
  </si>
  <si>
    <t>Intermediate Casing #2</t>
  </si>
  <si>
    <t>E7</t>
  </si>
  <si>
    <t>TOTAL Intermediate Casing #2</t>
  </si>
  <si>
    <t>Intermediate Casing 2</t>
  </si>
  <si>
    <t>Intermediate casing 2</t>
  </si>
  <si>
    <t>Drilling Casing / Liner</t>
  </si>
  <si>
    <t>E8</t>
  </si>
  <si>
    <t>Drilling Liner</t>
  </si>
  <si>
    <t>Drilling liner</t>
  </si>
  <si>
    <t>TOTAL Drilling Casing / Liner</t>
  </si>
  <si>
    <t>Production Casing Liner</t>
  </si>
  <si>
    <t>Production casing</t>
  </si>
  <si>
    <t>E9</t>
  </si>
  <si>
    <t>Production tubing</t>
  </si>
  <si>
    <t>Production Casing</t>
  </si>
  <si>
    <t>TOTAL Production Casing</t>
  </si>
  <si>
    <t xml:space="preserve">Production Liner </t>
  </si>
  <si>
    <t>E10</t>
  </si>
  <si>
    <t>Production Liner</t>
  </si>
  <si>
    <t xml:space="preserve">TOTAL Production Liner </t>
  </si>
  <si>
    <t>Production Tubing</t>
  </si>
  <si>
    <t>TOTAL Production tubing</t>
  </si>
  <si>
    <t>E11</t>
  </si>
  <si>
    <t>Liner Hangers &amp; Csg / Liner Accessories</t>
  </si>
  <si>
    <t>Conventional liner hanger</t>
  </si>
  <si>
    <t>Expandable liner hanger</t>
  </si>
  <si>
    <t>Float. Equip. &amp; Coupl. Install.</t>
  </si>
  <si>
    <t xml:space="preserve">Liner Hanger service </t>
  </si>
  <si>
    <t>Mobilization / Demobilization</t>
  </si>
  <si>
    <t>O-rings  Pad Eyes</t>
  </si>
  <si>
    <t>Rental - Liner Running tools</t>
  </si>
  <si>
    <t>Stop Collars</t>
  </si>
  <si>
    <t>Top Packer</t>
  </si>
  <si>
    <t>E12</t>
  </si>
  <si>
    <t>Liner Hangers &amp; Casing/Liner Accessories</t>
  </si>
  <si>
    <t>TOTAL Liner Hangers &amp; Casing/Liner Accessories</t>
  </si>
  <si>
    <t>Production Tieback</t>
  </si>
  <si>
    <t>Production tieback joints</t>
  </si>
  <si>
    <t>Production Tieback Service</t>
  </si>
  <si>
    <t>E13</t>
  </si>
  <si>
    <t xml:space="preserve">Artificial lift system Service </t>
  </si>
  <si>
    <t>Pump</t>
  </si>
  <si>
    <t>Hydraulic packer</t>
  </si>
  <si>
    <t>Mechanical packer</t>
  </si>
  <si>
    <t>O-ring Seal Sub Plug</t>
  </si>
  <si>
    <t xml:space="preserve">Screens </t>
  </si>
  <si>
    <t>Setting nipple</t>
  </si>
  <si>
    <t>Sleeves</t>
  </si>
  <si>
    <t>Technical Services</t>
  </si>
  <si>
    <t>Permanent Completion Equipment</t>
  </si>
  <si>
    <t>TOTAL Production Tieback</t>
  </si>
  <si>
    <t>TOTAL Permanent Completion Equipment</t>
  </si>
  <si>
    <t>TOTAL TANGIBLE CONSUMABLES</t>
  </si>
  <si>
    <t>F</t>
  </si>
  <si>
    <t>WELL SERVICES</t>
  </si>
  <si>
    <t>Mud/Fluids Engineering</t>
  </si>
  <si>
    <t>F1</t>
  </si>
  <si>
    <t>F2</t>
  </si>
  <si>
    <t>Mud / Fluids Engineering</t>
  </si>
  <si>
    <t>fluids personnel</t>
  </si>
  <si>
    <t>TOTAL Mud/Fluids Engineering</t>
  </si>
  <si>
    <t>Casing / tubing running job</t>
  </si>
  <si>
    <t>Personnel</t>
  </si>
  <si>
    <t>Rental tools</t>
  </si>
  <si>
    <t>Casing / Tubing Running</t>
  </si>
  <si>
    <t>F3</t>
  </si>
  <si>
    <t>Casing/Tubing Running</t>
  </si>
  <si>
    <t>TOTAL Casing/Tubing Running</t>
  </si>
  <si>
    <t>Cement Services</t>
  </si>
  <si>
    <t>F4</t>
  </si>
  <si>
    <t>TOTAL Cement Services</t>
  </si>
  <si>
    <t>Casing pressure test job</t>
  </si>
  <si>
    <t>Formation Integrity test job</t>
  </si>
  <si>
    <t>Leak off test</t>
  </si>
  <si>
    <t xml:space="preserve">Fixed cementing service cost </t>
  </si>
  <si>
    <t>Unit operating</t>
  </si>
  <si>
    <t>Unit stand by</t>
  </si>
  <si>
    <t>Mud Logging &amp; Drilling Data Logs</t>
  </si>
  <si>
    <t xml:space="preserve">Data transmission </t>
  </si>
  <si>
    <t>Logging unit daily rate</t>
  </si>
  <si>
    <t xml:space="preserve">Sample accessories </t>
  </si>
  <si>
    <t>TOTAL Mud Logging &amp; Drilling Data Logs</t>
  </si>
  <si>
    <t>Wellbore Gyro / Surveys</t>
  </si>
  <si>
    <t>F5</t>
  </si>
  <si>
    <t>F6</t>
  </si>
  <si>
    <t>TOTAL Wellbore Gyro / Surveys</t>
  </si>
  <si>
    <t>Wellbore Surveys</t>
  </si>
  <si>
    <t>Gyro services</t>
  </si>
  <si>
    <t>PDM/Turbine Drilling</t>
  </si>
  <si>
    <t>F7</t>
  </si>
  <si>
    <t>TOTAL PDM/Turbine Drilling</t>
  </si>
  <si>
    <t xml:space="preserve">Turbine operating </t>
  </si>
  <si>
    <t xml:space="preserve">Turbine stand by </t>
  </si>
  <si>
    <t>PDM / Turbine Drilling</t>
  </si>
  <si>
    <t>Directional Drilling and MWD</t>
  </si>
  <si>
    <t>APWD operating</t>
  </si>
  <si>
    <t>APWD Personnel</t>
  </si>
  <si>
    <t>APWD stand by</t>
  </si>
  <si>
    <t>Directional Drilling Personnel</t>
  </si>
  <si>
    <t>LWD operating</t>
  </si>
  <si>
    <t>LWD Personnel</t>
  </si>
  <si>
    <t>LWD stand by</t>
  </si>
  <si>
    <t>Mud motor operating</t>
  </si>
  <si>
    <t>Mud motor stand by</t>
  </si>
  <si>
    <t>MWD operating</t>
  </si>
  <si>
    <t>MWD Personnel</t>
  </si>
  <si>
    <t>MWD stand by</t>
  </si>
  <si>
    <t>RSS operating</t>
  </si>
  <si>
    <t>RSS stand by</t>
  </si>
  <si>
    <t>Subs and accessories operating</t>
  </si>
  <si>
    <t>Subs and accessories stand by</t>
  </si>
  <si>
    <t xml:space="preserve">Tools Maintenance </t>
  </si>
  <si>
    <t>Directional Drilling / MWD / LWD</t>
  </si>
  <si>
    <t>F8</t>
  </si>
  <si>
    <t>TOTAL Directional Drilling and MWD</t>
  </si>
  <si>
    <t>Fishing and/or Stuck Pipe Incidents</t>
  </si>
  <si>
    <t>Fishing &amp; Stuck Pipe Incidents</t>
  </si>
  <si>
    <t>Fishing tools purchase</t>
  </si>
  <si>
    <t>Fishing tools rental</t>
  </si>
  <si>
    <t xml:space="preserve">Fishing Service </t>
  </si>
  <si>
    <t>Run charges</t>
  </si>
  <si>
    <t>Wire Line Logging and/or LWD</t>
  </si>
  <si>
    <t>F9</t>
  </si>
  <si>
    <t>F10</t>
  </si>
  <si>
    <t>CH logging fixed cost</t>
  </si>
  <si>
    <t>CH logging job cost</t>
  </si>
  <si>
    <t>Logs interpretation</t>
  </si>
  <si>
    <t>OH logging fixed  cost</t>
  </si>
  <si>
    <t>OH logging job cost</t>
  </si>
  <si>
    <t>Wireline unit operating</t>
  </si>
  <si>
    <t>Wireline unit stand by</t>
  </si>
  <si>
    <t>Wire Line Logging</t>
  </si>
  <si>
    <t>Perforating</t>
  </si>
  <si>
    <t>TOTAL wire Line Logging and/or LWD</t>
  </si>
  <si>
    <t>F11</t>
  </si>
  <si>
    <t>TOTAL Perforating</t>
  </si>
  <si>
    <t>Well testing job cost</t>
  </si>
  <si>
    <t>Well testing</t>
  </si>
  <si>
    <t>F12</t>
  </si>
  <si>
    <t>F13</t>
  </si>
  <si>
    <t>Braided line unit operating</t>
  </si>
  <si>
    <t>Braided line unit stand by</t>
  </si>
  <si>
    <t xml:space="preserve">Slick line unit operating </t>
  </si>
  <si>
    <t>Slick line unit stand by</t>
  </si>
  <si>
    <t>Slick line Services</t>
  </si>
  <si>
    <t>Core Barrel Rental/Operator</t>
  </si>
  <si>
    <t>Core Barrel Operating</t>
  </si>
  <si>
    <t>Core Barrel Stand By</t>
  </si>
  <si>
    <t>Core Barrel Services</t>
  </si>
  <si>
    <t>F14</t>
  </si>
  <si>
    <t>F15</t>
  </si>
  <si>
    <t>Coiled Tubing Services</t>
  </si>
  <si>
    <t>TOTAL Core Barrel Rental/Operator</t>
  </si>
  <si>
    <t>TOTAL Coiled Tubing Services</t>
  </si>
  <si>
    <t>Core analysis</t>
  </si>
  <si>
    <t xml:space="preserve">Accessories consumables &amp; equipment </t>
  </si>
  <si>
    <t>Core equipment</t>
  </si>
  <si>
    <t>F16</t>
  </si>
  <si>
    <t>F17</t>
  </si>
  <si>
    <t>TOTAL Core analysis</t>
  </si>
  <si>
    <t>Nitrogen Services</t>
  </si>
  <si>
    <t>TOTAL Nitrogen Services</t>
  </si>
  <si>
    <t>Fluid Sampling &amp; Analysis</t>
  </si>
  <si>
    <t>F18</t>
  </si>
  <si>
    <t>TOTAL Fluid Sampling &amp; Analysis</t>
  </si>
  <si>
    <t>Fluid sampling job cost</t>
  </si>
  <si>
    <t>PVT studies</t>
  </si>
  <si>
    <t>Laboratory analysis cost</t>
  </si>
  <si>
    <t>Inspection Services</t>
  </si>
  <si>
    <t>F19</t>
  </si>
  <si>
    <t>TOTAL Inspection Services</t>
  </si>
  <si>
    <t>Inspection at rig site</t>
  </si>
  <si>
    <t>Inspection sent to yard</t>
  </si>
  <si>
    <t>Solids control services</t>
  </si>
  <si>
    <t>F20</t>
  </si>
  <si>
    <t xml:space="preserve">Cuttings final disposal </t>
  </si>
  <si>
    <t>Mud / Fluids Equipment Rental &amp; Serv</t>
  </si>
  <si>
    <t>Equipment Mobilization / Demobilization</t>
  </si>
  <si>
    <t>Solids control equipment operating</t>
  </si>
  <si>
    <t>Solids control equipment stand by</t>
  </si>
  <si>
    <t>Solids Mobilization / Demobilization</t>
  </si>
  <si>
    <t>Catch tanks rental</t>
  </si>
  <si>
    <t>F21</t>
  </si>
  <si>
    <t>Liquid waste management services</t>
  </si>
  <si>
    <t>TOTAL Solids control services</t>
  </si>
  <si>
    <t>Dewatering chemicals</t>
  </si>
  <si>
    <t>Dewatering equipment operating</t>
  </si>
  <si>
    <t>Dewatering equipment stand by</t>
  </si>
  <si>
    <t>Filtration Service</t>
  </si>
  <si>
    <t xml:space="preserve">Fluid treatment &amp; Final disposal </t>
  </si>
  <si>
    <t>Fluids Mobilization / Demobilization</t>
  </si>
  <si>
    <t>Frac tanks rental</t>
  </si>
  <si>
    <t>Vacuum trucks</t>
  </si>
  <si>
    <t>Water treatment</t>
  </si>
  <si>
    <t>TOTAL Liquid waste management services</t>
  </si>
  <si>
    <t>Fracturing / Stimulation</t>
  </si>
  <si>
    <t xml:space="preserve">Fracturing &amp; stimulation Chemical </t>
  </si>
  <si>
    <t>F22</t>
  </si>
  <si>
    <t>TOTAL Fracturing / Stimulation</t>
  </si>
  <si>
    <t>Down Hole Tool Rental</t>
  </si>
  <si>
    <t>Completion tools rental</t>
  </si>
  <si>
    <t>DC rental</t>
  </si>
  <si>
    <t>Drilling  tools rental</t>
  </si>
  <si>
    <t>Impression Block</t>
  </si>
  <si>
    <t xml:space="preserve">Jars </t>
  </si>
  <si>
    <t>Machine shop service</t>
  </si>
  <si>
    <t>Reamers rental</t>
  </si>
  <si>
    <t>Sand Bailer Pump</t>
  </si>
  <si>
    <t xml:space="preserve">Service cost </t>
  </si>
  <si>
    <t>Stabilizers rental</t>
  </si>
  <si>
    <t xml:space="preserve">Surface tools rental </t>
  </si>
  <si>
    <t>Tubing rental</t>
  </si>
  <si>
    <t>WBCO tools rental</t>
  </si>
  <si>
    <t>Whip stock job cost</t>
  </si>
  <si>
    <t>X-Overs All sizes</t>
  </si>
  <si>
    <t>F23</t>
  </si>
  <si>
    <t>TOTAL Down Hole Tool Rental</t>
  </si>
  <si>
    <t>F24</t>
  </si>
  <si>
    <t>License and permits</t>
  </si>
  <si>
    <t xml:space="preserve">Water Irrigation </t>
  </si>
  <si>
    <t>Environmental  &amp; HSE</t>
  </si>
  <si>
    <t>Abandonment/Suspension</t>
  </si>
  <si>
    <t>F25</t>
  </si>
  <si>
    <t>Abandonment / Suspension</t>
  </si>
  <si>
    <t>Aband./Susp. cost</t>
  </si>
  <si>
    <t>TOTAL Abandonment/Suspension</t>
  </si>
  <si>
    <t>Direct Supervision</t>
  </si>
  <si>
    <t>Company Man</t>
  </si>
  <si>
    <t>Field Engineer and Support</t>
  </si>
  <si>
    <t>Temporary Help</t>
  </si>
  <si>
    <t>Well Engineer</t>
  </si>
  <si>
    <t>F26</t>
  </si>
  <si>
    <t>TOTAL Direct Supervision</t>
  </si>
  <si>
    <t>Tech Services</t>
  </si>
  <si>
    <t>F27</t>
  </si>
  <si>
    <t>TOTAL Tech Services</t>
  </si>
  <si>
    <t>Open Wells</t>
  </si>
  <si>
    <t>Studies / tests / projects</t>
  </si>
  <si>
    <t>Well site geologists</t>
  </si>
  <si>
    <t>F28</t>
  </si>
  <si>
    <t xml:space="preserve">TOTAL WELL SERVICE </t>
  </si>
  <si>
    <t>Monthly No Incident Incentive</t>
  </si>
  <si>
    <t>TOTAL Monthly No Incident Incentive</t>
  </si>
  <si>
    <t>Well Productivity Bonus</t>
  </si>
  <si>
    <t>TOTAL Well Productivity Bonus</t>
  </si>
  <si>
    <t xml:space="preserve">Monthly bonus </t>
  </si>
  <si>
    <t>Well productivity bonus</t>
  </si>
  <si>
    <t>G</t>
  </si>
  <si>
    <t>G1</t>
  </si>
  <si>
    <t>SUPPORT SERVICES</t>
  </si>
  <si>
    <t>Helicopter flights</t>
  </si>
  <si>
    <t>Helicopters</t>
  </si>
  <si>
    <t>G2</t>
  </si>
  <si>
    <t>Wings [Aircrafts]</t>
  </si>
  <si>
    <t>TOTAL Wings [Aircrafts]</t>
  </si>
  <si>
    <t>G3</t>
  </si>
  <si>
    <t>Wings</t>
  </si>
  <si>
    <t>Charters</t>
  </si>
  <si>
    <t>Road Transport</t>
  </si>
  <si>
    <t>G4</t>
  </si>
  <si>
    <t>TOTAL Road Transport</t>
  </si>
  <si>
    <t>C100 Truck</t>
  </si>
  <si>
    <t>Company Man transport</t>
  </si>
  <si>
    <t>Crane</t>
  </si>
  <si>
    <t>Flat bed truck</t>
  </si>
  <si>
    <t>Lowboy trailer</t>
  </si>
  <si>
    <t>Truck 600</t>
  </si>
  <si>
    <t>Winch truck</t>
  </si>
  <si>
    <t xml:space="preserve">Office technical department </t>
  </si>
  <si>
    <t>Field Allocation</t>
  </si>
  <si>
    <t>TOTAL Field Allocation</t>
  </si>
  <si>
    <t xml:space="preserve">Administrative over cost </t>
  </si>
  <si>
    <t>Hotels</t>
  </si>
  <si>
    <t>Installation Base cost</t>
  </si>
  <si>
    <t>Rig Telecommunications</t>
  </si>
  <si>
    <t>Salaries / Benefits</t>
  </si>
  <si>
    <t>Thread lock</t>
  </si>
  <si>
    <t>Security</t>
  </si>
  <si>
    <t>G5</t>
  </si>
  <si>
    <t>Army</t>
  </si>
  <si>
    <t>Police</t>
  </si>
  <si>
    <t>Private Security</t>
  </si>
  <si>
    <t>TOTAL Security</t>
  </si>
  <si>
    <t>G6</t>
  </si>
  <si>
    <t>Community Relations</t>
  </si>
  <si>
    <t>G7</t>
  </si>
  <si>
    <t>TOTAL SUPPORT SERVICES</t>
  </si>
  <si>
    <t>Community relations</t>
  </si>
  <si>
    <t xml:space="preserve">GRAND TOTAL W/O VAT </t>
  </si>
  <si>
    <t>Daily Stand by Rate w/ crew</t>
  </si>
  <si>
    <t>Daily Stand by Rate w/o crew</t>
  </si>
  <si>
    <t xml:space="preserve">Rig Assistance </t>
  </si>
  <si>
    <t>TOTAL Mud/Fluids Chemicals</t>
  </si>
  <si>
    <t>Well insurance</t>
  </si>
  <si>
    <t>Technology Transfer</t>
  </si>
  <si>
    <t>Non-Chargeable Costs</t>
  </si>
  <si>
    <t xml:space="preserve">Logging unit stand by w/ crew </t>
  </si>
  <si>
    <t xml:space="preserve">Logging unit stand by w/o crew </t>
  </si>
  <si>
    <t>Rig up / Rig down daily rate</t>
  </si>
  <si>
    <t>Equipment operation</t>
  </si>
  <si>
    <t>Perforating Fixed &amp; Job cost</t>
  </si>
  <si>
    <t>CT job &amp; unit cost</t>
  </si>
  <si>
    <t>Core Analysis</t>
  </si>
  <si>
    <t>Nitrogen cost (fixed &amp; variable)</t>
  </si>
  <si>
    <t xml:space="preserve">Fracturing &amp; stimulation Fixed and job  cost </t>
  </si>
  <si>
    <t xml:space="preserve">CIVILWORKS </t>
  </si>
  <si>
    <t>LAND ACQUISITION</t>
  </si>
  <si>
    <t>LAND RIGHTS</t>
  </si>
  <si>
    <t>LOCATION CONSTRUCTION</t>
  </si>
  <si>
    <t>LOCATION MAINTENANCE</t>
  </si>
  <si>
    <t>ROAD CONSTRUCTION</t>
  </si>
  <si>
    <t>ROAD MAINTENANCE</t>
  </si>
  <si>
    <t>Production liner</t>
  </si>
  <si>
    <t xml:space="preserve">Charters </t>
  </si>
  <si>
    <t>PRICE 1</t>
  </si>
  <si>
    <t>PRICE 2</t>
  </si>
  <si>
    <t>PRICE 3</t>
  </si>
  <si>
    <t>PRICE 4</t>
  </si>
  <si>
    <t>PRICE 5</t>
  </si>
  <si>
    <t>PRICE 6</t>
  </si>
  <si>
    <t>PRICE 7</t>
  </si>
  <si>
    <t>PRICE 8</t>
  </si>
  <si>
    <t>PRICE 9</t>
  </si>
  <si>
    <t>PRICE 10</t>
  </si>
  <si>
    <t>CODE</t>
  </si>
  <si>
    <t>NAME</t>
  </si>
  <si>
    <t xml:space="preserve">AVERAGE VALUE </t>
  </si>
  <si>
    <t xml:space="preserve">UNIT </t>
  </si>
  <si>
    <t>DAY</t>
  </si>
  <si>
    <t>UNIT</t>
  </si>
  <si>
    <t>GLOBAL</t>
  </si>
  <si>
    <t>BBL</t>
  </si>
  <si>
    <t>FT</t>
  </si>
  <si>
    <t xml:space="preserve">Personnel transport </t>
  </si>
  <si>
    <t>Catering</t>
  </si>
  <si>
    <t>Diesel (ADDITIONAL)</t>
  </si>
  <si>
    <t>Diesel  (ADDITIONAL)</t>
  </si>
  <si>
    <t>TOTAL Purchase land and/or access permit cost</t>
  </si>
  <si>
    <t>SUB-NAME</t>
  </si>
  <si>
    <t>TOTAL Conductor Casing</t>
  </si>
  <si>
    <t>TOTAL Fishing and/or Stuck Pipe Incidents</t>
  </si>
  <si>
    <t>TOTAL Community Relations</t>
  </si>
  <si>
    <t>TOTAL</t>
  </si>
  <si>
    <t>DAY END</t>
  </si>
  <si>
    <t>-</t>
  </si>
  <si>
    <t>RIG</t>
  </si>
  <si>
    <t>PLANNED STANDBY DAYS WITH CREW</t>
  </si>
  <si>
    <t>LIH/DBR VALUE</t>
  </si>
  <si>
    <t>REIMBURSABLE PLANNED VALUE</t>
  </si>
  <si>
    <t>PLANNED STACK RATE DAYS</t>
  </si>
  <si>
    <t>RENT</t>
  </si>
  <si>
    <t>BUY</t>
  </si>
  <si>
    <t>NO USE</t>
  </si>
  <si>
    <t xml:space="preserve">TECHNOLOGY TRANSFER VALUE </t>
  </si>
  <si>
    <t>MONTH</t>
  </si>
  <si>
    <t>C100 TRUCK</t>
  </si>
  <si>
    <t>CRANE</t>
  </si>
  <si>
    <t>FLAT BED TRUCK</t>
  </si>
  <si>
    <t>LOWBOY TRAILER</t>
  </si>
  <si>
    <t>TRUCK 600</t>
  </si>
  <si>
    <t>WINCH TRUCK</t>
  </si>
  <si>
    <t>HEAD</t>
  </si>
  <si>
    <t xml:space="preserve">WELL CONSUMABLES </t>
  </si>
  <si>
    <t>COMPLETION</t>
  </si>
  <si>
    <t>GAL</t>
  </si>
  <si>
    <t>HANGER</t>
  </si>
  <si>
    <t>EXPANDABLE</t>
  </si>
  <si>
    <t>CONVENTIONAL</t>
  </si>
  <si>
    <t>BOTH</t>
  </si>
  <si>
    <t xml:space="preserve">TYPE OF LINER HANGER </t>
  </si>
  <si>
    <t>PRODUCTION TIE BACK REQUIRED</t>
  </si>
  <si>
    <t xml:space="preserve">No. OF TIE BACK JOINTS </t>
  </si>
  <si>
    <t xml:space="preserve">TYPE OF PACKER </t>
  </si>
  <si>
    <t>PACKER</t>
  </si>
  <si>
    <t>HYDRAULIC</t>
  </si>
  <si>
    <t>MECHANICAL</t>
  </si>
  <si>
    <t>Well 1</t>
  </si>
  <si>
    <t>Well 2</t>
  </si>
  <si>
    <t>Well 3</t>
  </si>
  <si>
    <t>Well 4</t>
  </si>
  <si>
    <t>Well 5</t>
  </si>
  <si>
    <t>Well 6</t>
  </si>
  <si>
    <t>Well 7</t>
  </si>
  <si>
    <t>Well 8</t>
  </si>
  <si>
    <t>DRILLING</t>
  </si>
  <si>
    <t>AVERAGE</t>
  </si>
  <si>
    <t>Well 9</t>
  </si>
  <si>
    <t>Well 10</t>
  </si>
  <si>
    <t>YESORNO</t>
  </si>
  <si>
    <t>QTY</t>
  </si>
  <si>
    <t>GYRO - GYRO SERVICES REQUIRED</t>
  </si>
  <si>
    <t xml:space="preserve">PLANNED TIME </t>
  </si>
  <si>
    <t>REAL TIME  - DIFFERENCE</t>
  </si>
  <si>
    <t>EXTRA TIME ASSOCIATED TO PLANNING ISSUES</t>
  </si>
  <si>
    <t xml:space="preserve">PERCENTAGE </t>
  </si>
  <si>
    <t>EXTRA TIME ASSOCIATED TO HUMAN MISTAKES</t>
  </si>
  <si>
    <t>EXTRA TIME ASSOCIATED TO GEOLOGICAL FAILURES</t>
  </si>
  <si>
    <t xml:space="preserve">EXTRA TIME ASSOCIATED TO STUCK EVENTS </t>
  </si>
  <si>
    <t xml:space="preserve">TOTAL VALUE INCLUDED RISK EVENTS </t>
  </si>
  <si>
    <t>TOTAL Slick line Services</t>
  </si>
  <si>
    <t>Environmental &amp; HSE</t>
  </si>
  <si>
    <t>TOTAL Environmental &amp; HSE</t>
  </si>
  <si>
    <t>Helicopters and special flights</t>
  </si>
  <si>
    <t>TOTAL Helicopters and special flights</t>
  </si>
  <si>
    <t>Operations insurance</t>
  </si>
  <si>
    <t>TOTAL Operations insurance</t>
  </si>
  <si>
    <t>PURCHASE LAND AND/OR ACCESS PERMIT COST</t>
  </si>
  <si>
    <t>TOTAL PURCHASE LAND AND/OR ACCESS PERMIT COST</t>
  </si>
  <si>
    <t>LOCATION construction and maintenance</t>
  </si>
  <si>
    <t>TOTAL location construction and maintenance</t>
  </si>
  <si>
    <t xml:space="preserve">HIRE OF DRILLING UNIT &amp; CATERING </t>
  </si>
  <si>
    <t xml:space="preserve">TOTAL HIRE OF DRILLING UNIT &amp; CATERING </t>
  </si>
  <si>
    <t>Well Cost Estimation Tool V1.0</t>
  </si>
  <si>
    <t>WELL NPT AND OVER COST - HISTORICAL</t>
  </si>
  <si>
    <t xml:space="preserve">Name of the project: </t>
  </si>
  <si>
    <t>Name of the file</t>
  </si>
  <si>
    <t xml:space="preserve">NAVIGATION &amp; TOOLS PANEL </t>
  </si>
  <si>
    <t xml:space="preserve">Drilling Cost </t>
  </si>
  <si>
    <t>Civil Works &amp; Mobilization Cost</t>
  </si>
  <si>
    <t>Completion Cost</t>
  </si>
  <si>
    <t>Total cost without risk cost</t>
  </si>
  <si>
    <t>EXTRA COST ASSOCIATED TO DRILLING NPT´S</t>
  </si>
  <si>
    <t>EXTRA COST ASSOCIATED TO DRILLING STUCK EVENTS</t>
  </si>
  <si>
    <t>EXTRA COST ASSOCIATED TO COMPLETION  NPT´S</t>
  </si>
  <si>
    <t>EXTRA COST ASSOCIATED TO COMPLETION  STUCK EVENTS</t>
  </si>
  <si>
    <t>Risk cost</t>
  </si>
  <si>
    <t>Total cost with risk cost</t>
  </si>
  <si>
    <t>PLACE</t>
  </si>
  <si>
    <t>COMPANY FIELD</t>
  </si>
  <si>
    <t>CONTRACTOR BASE</t>
  </si>
  <si>
    <t>DRILLING AND COMPLETION PARAMETERS</t>
  </si>
  <si>
    <t>FT/DAY</t>
  </si>
  <si>
    <t>DP, HWDP</t>
  </si>
  <si>
    <t>COST SUMMARY IN USD WITHOUT VAT</t>
  </si>
  <si>
    <t>PLANNED COST  IN USD</t>
  </si>
  <si>
    <t>REAL COST - DIFFERENCE   IN USD</t>
  </si>
  <si>
    <t>EXTRA COST ASSOCIATED TO PLANNING ISSUES   IN USD</t>
  </si>
  <si>
    <t>EXTRA COST ASSOCIATED TO HUMAN MISTAKES  IN USD</t>
  </si>
  <si>
    <t>EXTRA COST ASSOCIATED TO GEOLOGICAL FAILURES  IN USD</t>
  </si>
  <si>
    <t>EXTRA COST ASSOCIATED TO STUCK EVENTS  IN USD</t>
  </si>
  <si>
    <t>WELL MARKET PRICES IN USD WITHOUT VAT</t>
  </si>
  <si>
    <t>CEMENT -OVERLAP FT´s FOR CEMENTING CONSUMABLES</t>
  </si>
  <si>
    <t>BITS - CORE BITS</t>
  </si>
  <si>
    <t>BITS - PDC BITS</t>
  </si>
  <si>
    <t xml:space="preserve">BITS- TRICONE BITS </t>
  </si>
  <si>
    <t xml:space="preserve">PLANNED STANDBY DAYS WITH OUT CREW </t>
  </si>
  <si>
    <t>WELLHEAD - SECTION A CASING HEAD</t>
  </si>
  <si>
    <t>WELLHEAD - SECTION B CASING SPOOL</t>
  </si>
  <si>
    <t>WELLHEAD - SECTION C CASING SPOOL</t>
  </si>
  <si>
    <t>WELLHEAD - SECTION D CASING SPOOL</t>
  </si>
  <si>
    <t xml:space="preserve">OVERLAP IN FT FOR EXTRA PIPE REQUIREMENT </t>
  </si>
  <si>
    <t>CHRISTMAS TREE REQUIRED</t>
  </si>
  <si>
    <t>TUBING HEAD REQUIRED</t>
  </si>
  <si>
    <t xml:space="preserve">FT OF SCREENS REQUIRED </t>
  </si>
  <si>
    <t>WIRELINE - CASED HOLE LOGGING REQUIRED</t>
  </si>
  <si>
    <t>WIRELINE - OPEN HOLE LOGGING</t>
  </si>
  <si>
    <t>WIRELINE LOGS INTERPRETATION SERVICE REQUIRED</t>
  </si>
  <si>
    <t>WIRELINE - PLANNED STAND BY DAYS</t>
  </si>
  <si>
    <t>PERFORATING - COMPLETION WITH PERFORATING SERVICE REQUIRED</t>
  </si>
  <si>
    <t>WELL TESTING SERVICE JOB IN DAYS REQUIRED</t>
  </si>
  <si>
    <t>TUBING RENTAL REQUIRED</t>
  </si>
  <si>
    <t>CROSSOVER - NUMBER OF CROSSOVERS REQUIRED</t>
  </si>
  <si>
    <t>OPENWELLS REQUIRED / USE</t>
  </si>
  <si>
    <t>GEOLOGICAL TEST REQUIRED</t>
  </si>
  <si>
    <t>PORCENTAGE</t>
  </si>
  <si>
    <t>CEMENTING - CASING PRESSURE TEST JOB</t>
  </si>
  <si>
    <t>CEMENTING - FORMATION INTEGRITY TEST JOB</t>
  </si>
  <si>
    <t>CEMENTING - LEAK OFF TEST</t>
  </si>
  <si>
    <t>TURBINE REQUIRED</t>
  </si>
  <si>
    <t>COILED TUBING - COILED TUBING REQUIRED</t>
  </si>
  <si>
    <t>NITROGEN SERVICE REQUIRES</t>
  </si>
  <si>
    <t>CRUDE TEST - PVT CRUDE ANALYSIS</t>
  </si>
  <si>
    <t xml:space="preserve">PLACE TO PERFORM  PIPE INSPECTION </t>
  </si>
  <si>
    <t>FRACTURING &amp; STIMULATION REQUIRED</t>
  </si>
  <si>
    <t>DRILL COLLARS REQUIRED</t>
  </si>
  <si>
    <t>DRILL PIPE REQUIRED</t>
  </si>
  <si>
    <t>JARS - NUMBER OF JARS REQUIRED</t>
  </si>
  <si>
    <t>ROLLER REAMERS - NUMBER OF REAMERS REQUIRED</t>
  </si>
  <si>
    <t>SAND BAILER PUMP REQUIRED</t>
  </si>
  <si>
    <t>STABILIZERS - NUMBER OF STABILIZER REQUIRED</t>
  </si>
  <si>
    <t>WELLBORE CLEAN OUT SERVICE REQUIRED</t>
  </si>
  <si>
    <t>MOBILIZATION AND DATA TRANSFER FOR OWN MATERIAL</t>
  </si>
  <si>
    <t>CEMENTING UNIT STAND BY IN DAYS</t>
  </si>
  <si>
    <t xml:space="preserve">MUD LOGGING - PLANNED LOGGING UNIT STAND BY W/ CREW IN DAYS </t>
  </si>
  <si>
    <t>MUD LOGGING - PLANNED LOGGING UNIT STAND BY W/O CREW IN DAYS</t>
  </si>
  <si>
    <t xml:space="preserve">QUANTITY OF PERSONNEL IN LOCATION </t>
  </si>
  <si>
    <t>DIESEL - ADDITIONAL DIESEL GALLONS FOR THE OPERATION</t>
  </si>
  <si>
    <t>BITS - CORE BITS QUANTITY</t>
  </si>
  <si>
    <t>BITS - IMPREGNATED BITS</t>
  </si>
  <si>
    <t>BITS - IMPREGNATED BITS QUANTITY</t>
  </si>
  <si>
    <t>BITS - PDC BITS QUANTITY</t>
  </si>
  <si>
    <t>BITS - TRICONE BITS QUANTITY</t>
  </si>
  <si>
    <t>ADDITIONAL BUDGET FOR PIPE ACCESSORIES</t>
  </si>
  <si>
    <t>COMPLETION SCREENS REQUIRED</t>
  </si>
  <si>
    <t>FLUIDS - MUD ENGINEERS PER PHASE</t>
  </si>
  <si>
    <t>FISHING SERVICE REQUIRED</t>
  </si>
  <si>
    <t xml:space="preserve">SLICK LINE - BRAID LINE UNIT OPERATING  REQUIRED </t>
  </si>
  <si>
    <t>SLICK LINE - BRAIDED LINE UNIT STAND BY IN DAYS</t>
  </si>
  <si>
    <t>SLICK LINE - SLICK LINE UNIT OPERATING  REQUIRED</t>
  </si>
  <si>
    <t>SLICK LINE - SLICK LINE UNIT STAND BY IN DAYS</t>
  </si>
  <si>
    <t>IMPRESSION BLOCK REQUIRED IN NUMBER OF IMPRESSIONS</t>
  </si>
  <si>
    <t>WHIPSTOCK - NUMBER OF WHIPSTOCK REQUIRED</t>
  </si>
  <si>
    <t>WELL ENGINEERS -* NUMBER OF WELL ENGINEERS REQUIRED (TEMPORAL)</t>
  </si>
  <si>
    <t>WELL SITE GEOLOGIST REQUIRED</t>
  </si>
  <si>
    <t xml:space="preserve">PERCENTAGE OF MONTHLY BONUS </t>
  </si>
  <si>
    <t xml:space="preserve">PERCENTAGE OF WELL PRODUCTIVITY BONUS </t>
  </si>
  <si>
    <t xml:space="preserve">ESTIMATED VALUE </t>
  </si>
  <si>
    <t>Drilling and Completion Planned Days</t>
  </si>
  <si>
    <t xml:space="preserve">Drilling and Completion Planned Days with risk </t>
  </si>
  <si>
    <t xml:space="preserve">TOTAL TIME INCLUDED RISK EVENTS </t>
  </si>
  <si>
    <t>Well Testing</t>
  </si>
  <si>
    <t>TOTAL Well testing</t>
  </si>
  <si>
    <t>Well cost tool empty</t>
  </si>
  <si>
    <t xml:space="preserve">OPERATIOSN FOR DIAMETERS SIZE </t>
  </si>
  <si>
    <t xml:space="preserve">DETAILED AFE </t>
  </si>
  <si>
    <t>SUMMARY AFE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</si>
</sst>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dddd"/>
    <numFmt numFmtId="167" formatCode="&quot;$&quot;\ #,##0"/>
    <numFmt numFmtId="168" formatCode="0.0%"/>
  </numFmts>
  <fonts count="11" x14ac:knownFonts="1">
    <font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8"/>
      <color theme="0"/>
      <name val="Calibri"/>
      <family val="2"/>
    </font>
    <font>
      <sz val="11"/>
      <color rgb="FF666666"/>
      <name val="Arial"/>
      <family val="2"/>
    </font>
    <font>
      <b/>
      <sz val="22"/>
      <color theme="0"/>
      <name val="Calibri"/>
      <family val="2"/>
    </font>
    <font>
      <sz val="12"/>
      <name val="Calibri"/>
      <family val="2"/>
    </font>
    <font>
      <sz val="10"/>
      <color theme="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87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12" fontId="0" fillId="0" borderId="6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/>
    </xf>
    <xf numFmtId="167" fontId="0" fillId="5" borderId="1" xfId="0" applyNumberFormat="1" applyFill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 wrapText="1"/>
    </xf>
    <xf numFmtId="167" fontId="0" fillId="6" borderId="18" xfId="0" applyNumberFormat="1" applyFill="1" applyBorder="1" applyAlignment="1">
      <alignment horizontal="center" vertical="center"/>
    </xf>
    <xf numFmtId="167" fontId="0" fillId="6" borderId="17" xfId="0" applyNumberFormat="1" applyFill="1" applyBorder="1" applyAlignment="1">
      <alignment horizontal="center" vertical="center"/>
    </xf>
    <xf numFmtId="167" fontId="0" fillId="5" borderId="18" xfId="0" applyNumberFormat="1" applyFill="1" applyBorder="1" applyAlignment="1">
      <alignment horizontal="center" vertical="center"/>
    </xf>
    <xf numFmtId="167" fontId="0" fillId="5" borderId="17" xfId="0" applyNumberForma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/>
    </xf>
    <xf numFmtId="167" fontId="0" fillId="5" borderId="23" xfId="0" applyNumberFormat="1" applyFill="1" applyBorder="1" applyAlignment="1">
      <alignment horizontal="center" vertical="center"/>
    </xf>
    <xf numFmtId="167" fontId="0" fillId="5" borderId="24" xfId="0" applyNumberForma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wrapText="1"/>
    </xf>
    <xf numFmtId="167" fontId="0" fillId="6" borderId="20" xfId="0" applyNumberFormat="1" applyFill="1" applyBorder="1" applyAlignment="1">
      <alignment horizontal="center" vertical="center"/>
    </xf>
    <xf numFmtId="167" fontId="0" fillId="6" borderId="21" xfId="0" applyNumberForma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 wrapText="1"/>
    </xf>
    <xf numFmtId="167" fontId="1" fillId="7" borderId="18" xfId="0" applyNumberFormat="1" applyFont="1" applyFill="1" applyBorder="1" applyAlignment="1">
      <alignment horizontal="center" vertical="center"/>
    </xf>
    <xf numFmtId="167" fontId="1" fillId="7" borderId="17" xfId="0" applyNumberFormat="1" applyFont="1" applyFill="1" applyBorder="1" applyAlignment="1">
      <alignment horizontal="center" vertical="center"/>
    </xf>
    <xf numFmtId="167" fontId="2" fillId="3" borderId="18" xfId="0" applyNumberFormat="1" applyFont="1" applyFill="1" applyBorder="1" applyAlignment="1">
      <alignment horizontal="center" vertical="center"/>
    </xf>
    <xf numFmtId="167" fontId="0" fillId="0" borderId="1" xfId="0" applyNumberFormat="1" applyFont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67" fontId="0" fillId="0" borderId="18" xfId="0" applyNumberFormat="1" applyBorder="1" applyAlignment="1">
      <alignment horizontal="center" vertical="center"/>
    </xf>
    <xf numFmtId="167" fontId="0" fillId="0" borderId="20" xfId="0" applyNumberForma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2" fillId="6" borderId="18" xfId="0" applyNumberFormat="1" applyFont="1" applyFill="1" applyBorder="1" applyAlignment="1">
      <alignment horizontal="center" vertical="center"/>
    </xf>
    <xf numFmtId="167" fontId="2" fillId="5" borderId="18" xfId="0" applyNumberFormat="1" applyFont="1" applyFill="1" applyBorder="1" applyAlignment="1">
      <alignment horizontal="center" vertical="center"/>
    </xf>
    <xf numFmtId="167" fontId="2" fillId="5" borderId="23" xfId="0" applyNumberFormat="1" applyFont="1" applyFill="1" applyBorder="1" applyAlignment="1">
      <alignment horizontal="center" vertical="center"/>
    </xf>
    <xf numFmtId="167" fontId="2" fillId="6" borderId="2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7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6" borderId="20" xfId="0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68" fontId="0" fillId="0" borderId="0" xfId="2" applyNumberFormat="1" applyFont="1" applyAlignment="1">
      <alignment horizontal="center" vertical="center"/>
    </xf>
    <xf numFmtId="1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67" fontId="0" fillId="0" borderId="0" xfId="0" applyNumberFormat="1" applyBorder="1" applyAlignment="1">
      <alignment horizontal="center" vertical="center" wrapText="1"/>
    </xf>
    <xf numFmtId="167" fontId="0" fillId="0" borderId="18" xfId="0" applyNumberForma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horizontal="right" vertical="center"/>
    </xf>
    <xf numFmtId="14" fontId="0" fillId="0" borderId="18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6" xfId="0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2" fontId="0" fillId="8" borderId="1" xfId="0" applyNumberFormat="1" applyFill="1" applyBorder="1" applyAlignment="1">
      <alignment horizontal="center" vertical="center"/>
    </xf>
    <xf numFmtId="165" fontId="0" fillId="8" borderId="1" xfId="1" applyFont="1" applyFill="1" applyBorder="1" applyAlignment="1">
      <alignment horizontal="center" vertical="center"/>
    </xf>
    <xf numFmtId="165" fontId="0" fillId="8" borderId="9" xfId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/>
    </xf>
    <xf numFmtId="168" fontId="2" fillId="8" borderId="33" xfId="2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2" fontId="0" fillId="8" borderId="4" xfId="0" applyNumberFormat="1" applyFill="1" applyBorder="1" applyAlignment="1">
      <alignment horizontal="center" vertical="center"/>
    </xf>
    <xf numFmtId="168" fontId="0" fillId="8" borderId="5" xfId="2" applyNumberFormat="1" applyFont="1" applyFill="1" applyBorder="1" applyAlignment="1">
      <alignment horizontal="center" vertical="center"/>
    </xf>
    <xf numFmtId="168" fontId="0" fillId="8" borderId="7" xfId="2" applyNumberFormat="1" applyFont="1" applyFill="1" applyBorder="1" applyAlignment="1">
      <alignment horizontal="center" vertical="center"/>
    </xf>
    <xf numFmtId="168" fontId="0" fillId="8" borderId="10" xfId="2" applyNumberFormat="1" applyFont="1" applyFill="1" applyBorder="1" applyAlignment="1">
      <alignment horizontal="center" vertical="center"/>
    </xf>
    <xf numFmtId="0" fontId="0" fillId="0" borderId="6" xfId="0" applyNumberFormat="1" applyBorder="1" applyAlignment="1">
      <alignment vertical="center"/>
    </xf>
    <xf numFmtId="167" fontId="0" fillId="8" borderId="7" xfId="0" applyNumberForma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167" fontId="0" fillId="8" borderId="10" xfId="0" applyNumberFormat="1" applyFill="1" applyBorder="1" applyAlignment="1">
      <alignment horizontal="center" vertical="center"/>
    </xf>
    <xf numFmtId="0" fontId="0" fillId="0" borderId="27" xfId="0" applyNumberFormat="1" applyBorder="1" applyAlignment="1">
      <alignment vertical="center"/>
    </xf>
    <xf numFmtId="167" fontId="0" fillId="8" borderId="29" xfId="0" applyNumberForma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 wrapText="1"/>
    </xf>
    <xf numFmtId="0" fontId="2" fillId="11" borderId="34" xfId="0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  <protection locked="0"/>
    </xf>
    <xf numFmtId="0" fontId="0" fillId="11" borderId="24" xfId="0" applyFill="1" applyBorder="1" applyAlignment="1" applyProtection="1">
      <alignment horizontal="center" vertical="center"/>
      <protection locked="0"/>
    </xf>
    <xf numFmtId="0" fontId="0" fillId="11" borderId="28" xfId="0" applyFill="1" applyBorder="1" applyAlignment="1" applyProtection="1">
      <alignment horizontal="center" vertical="center"/>
      <protection locked="0"/>
    </xf>
    <xf numFmtId="0" fontId="0" fillId="11" borderId="29" xfId="0" applyFill="1" applyBorder="1" applyAlignment="1" applyProtection="1">
      <alignment horizontal="center" vertical="center"/>
      <protection locked="0"/>
    </xf>
    <xf numFmtId="0" fontId="0" fillId="11" borderId="17" xfId="0" applyFill="1" applyBorder="1" applyAlignment="1" applyProtection="1">
      <alignment horizontal="center" vertical="center"/>
      <protection locked="0"/>
    </xf>
    <xf numFmtId="0" fontId="0" fillId="11" borderId="1" xfId="0" applyFill="1" applyBorder="1" applyAlignment="1" applyProtection="1">
      <alignment horizontal="center" vertical="center"/>
      <protection locked="0"/>
    </xf>
    <xf numFmtId="0" fontId="0" fillId="11" borderId="7" xfId="0" applyFill="1" applyBorder="1" applyAlignment="1" applyProtection="1">
      <alignment horizontal="center" vertical="center"/>
      <protection locked="0"/>
    </xf>
    <xf numFmtId="165" fontId="0" fillId="11" borderId="17" xfId="1" applyFont="1" applyFill="1" applyBorder="1" applyAlignment="1" applyProtection="1">
      <alignment horizontal="center" vertical="center"/>
      <protection locked="0"/>
    </xf>
    <xf numFmtId="165" fontId="0" fillId="11" borderId="1" xfId="1" applyFont="1" applyFill="1" applyBorder="1" applyAlignment="1" applyProtection="1">
      <alignment horizontal="center" vertical="center"/>
      <protection locked="0"/>
    </xf>
    <xf numFmtId="0" fontId="0" fillId="11" borderId="7" xfId="0" applyFill="1" applyBorder="1" applyProtection="1">
      <protection locked="0"/>
    </xf>
    <xf numFmtId="165" fontId="0" fillId="11" borderId="36" xfId="1" applyFont="1" applyFill="1" applyBorder="1" applyAlignment="1" applyProtection="1">
      <alignment horizontal="center" vertical="center"/>
      <protection locked="0"/>
    </xf>
    <xf numFmtId="165" fontId="0" fillId="11" borderId="9" xfId="1" applyFont="1" applyFill="1" applyBorder="1" applyAlignment="1" applyProtection="1">
      <alignment horizontal="center" vertical="center"/>
      <protection locked="0"/>
    </xf>
    <xf numFmtId="0" fontId="0" fillId="11" borderId="9" xfId="0" applyFill="1" applyBorder="1" applyAlignment="1" applyProtection="1">
      <alignment horizontal="center" vertical="center"/>
      <protection locked="0"/>
    </xf>
    <xf numFmtId="0" fontId="0" fillId="11" borderId="10" xfId="0" applyFill="1" applyBorder="1" applyAlignment="1" applyProtection="1">
      <alignment horizontal="center" vertical="center"/>
      <protection locked="0"/>
    </xf>
    <xf numFmtId="0" fontId="2" fillId="11" borderId="40" xfId="0" applyFont="1" applyFill="1" applyBorder="1" applyAlignment="1" applyProtection="1">
      <alignment horizontal="center" vertical="center"/>
      <protection locked="0"/>
    </xf>
    <xf numFmtId="0" fontId="2" fillId="11" borderId="32" xfId="0" applyFont="1" applyFill="1" applyBorder="1" applyAlignment="1" applyProtection="1">
      <alignment horizontal="center" vertical="center"/>
      <protection locked="0"/>
    </xf>
    <xf numFmtId="0" fontId="2" fillId="11" borderId="33" xfId="0" applyFont="1" applyFill="1" applyBorder="1" applyAlignment="1" applyProtection="1">
      <alignment horizontal="center" vertical="center"/>
      <protection locked="0"/>
    </xf>
    <xf numFmtId="167" fontId="0" fillId="11" borderId="24" xfId="0" applyNumberFormat="1" applyFill="1" applyBorder="1" applyAlignment="1" applyProtection="1">
      <alignment vertical="center"/>
      <protection locked="0"/>
    </xf>
    <xf numFmtId="167" fontId="0" fillId="11" borderId="28" xfId="0" applyNumberFormat="1" applyFill="1" applyBorder="1" applyAlignment="1" applyProtection="1">
      <alignment vertical="center"/>
      <protection locked="0"/>
    </xf>
    <xf numFmtId="167" fontId="0" fillId="11" borderId="29" xfId="0" applyNumberFormat="1" applyFill="1" applyBorder="1" applyAlignment="1" applyProtection="1">
      <alignment vertical="center"/>
      <protection locked="0"/>
    </xf>
    <xf numFmtId="167" fontId="0" fillId="11" borderId="17" xfId="0" applyNumberFormat="1" applyFill="1" applyBorder="1" applyAlignment="1" applyProtection="1">
      <alignment vertical="center"/>
      <protection locked="0"/>
    </xf>
    <xf numFmtId="167" fontId="0" fillId="11" borderId="1" xfId="0" applyNumberFormat="1" applyFill="1" applyBorder="1" applyAlignment="1" applyProtection="1">
      <alignment vertical="center"/>
      <protection locked="0"/>
    </xf>
    <xf numFmtId="167" fontId="0" fillId="11" borderId="7" xfId="0" applyNumberFormat="1" applyFill="1" applyBorder="1" applyAlignment="1" applyProtection="1">
      <alignment vertical="center"/>
      <protection locked="0"/>
    </xf>
    <xf numFmtId="167" fontId="0" fillId="11" borderId="36" xfId="0" applyNumberFormat="1" applyFill="1" applyBorder="1" applyAlignment="1" applyProtection="1">
      <alignment vertical="center"/>
      <protection locked="0"/>
    </xf>
    <xf numFmtId="167" fontId="0" fillId="11" borderId="9" xfId="0" applyNumberFormat="1" applyFill="1" applyBorder="1" applyAlignment="1" applyProtection="1">
      <alignment vertical="center"/>
      <protection locked="0"/>
    </xf>
    <xf numFmtId="167" fontId="0" fillId="11" borderId="10" xfId="0" applyNumberFormat="1" applyFill="1" applyBorder="1" applyAlignment="1" applyProtection="1">
      <alignment vertical="center"/>
      <protection locked="0"/>
    </xf>
    <xf numFmtId="0" fontId="0" fillId="11" borderId="6" xfId="0" applyFill="1" applyBorder="1" applyAlignment="1" applyProtection="1">
      <alignment vertical="center"/>
      <protection locked="0"/>
    </xf>
    <xf numFmtId="0" fontId="0" fillId="11" borderId="1" xfId="0" applyFill="1" applyBorder="1" applyAlignment="1" applyProtection="1">
      <alignment vertical="center" wrapText="1"/>
      <protection locked="0"/>
    </xf>
    <xf numFmtId="0" fontId="0" fillId="11" borderId="1" xfId="0" applyFill="1" applyBorder="1" applyAlignment="1" applyProtection="1">
      <alignment vertical="center"/>
      <protection locked="0"/>
    </xf>
    <xf numFmtId="0" fontId="0" fillId="11" borderId="8" xfId="0" applyFill="1" applyBorder="1" applyAlignment="1" applyProtection="1">
      <alignment vertical="center"/>
      <protection locked="0"/>
    </xf>
    <xf numFmtId="0" fontId="0" fillId="11" borderId="9" xfId="0" applyFill="1" applyBorder="1" applyAlignment="1" applyProtection="1">
      <alignment vertical="center" wrapText="1"/>
      <protection locked="0"/>
    </xf>
    <xf numFmtId="0" fontId="0" fillId="11" borderId="9" xfId="0" applyFill="1" applyBorder="1" applyAlignment="1" applyProtection="1">
      <alignment vertical="center"/>
      <protection locked="0"/>
    </xf>
    <xf numFmtId="0" fontId="0" fillId="11" borderId="28" xfId="0" applyFill="1" applyBorder="1" applyAlignment="1" applyProtection="1">
      <alignment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167" fontId="0" fillId="0" borderId="7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7" fontId="0" fillId="0" borderId="42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7" fontId="0" fillId="4" borderId="7" xfId="0" applyNumberFormat="1" applyFill="1" applyBorder="1" applyAlignment="1">
      <alignment horizontal="center" vertical="center" wrapText="1"/>
    </xf>
    <xf numFmtId="167" fontId="2" fillId="10" borderId="10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vertical="center" wrapText="1"/>
    </xf>
    <xf numFmtId="0" fontId="0" fillId="0" borderId="45" xfId="0" applyBorder="1" applyAlignment="1">
      <alignment horizontal="right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43" xfId="0" applyBorder="1" applyAlignment="1">
      <alignment vertical="center" wrapText="1"/>
    </xf>
    <xf numFmtId="0" fontId="0" fillId="0" borderId="36" xfId="0" applyBorder="1" applyAlignment="1">
      <alignment horizontal="right" vertical="center"/>
    </xf>
    <xf numFmtId="0" fontId="0" fillId="0" borderId="4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43" xfId="0" applyFont="1" applyFill="1" applyBorder="1" applyAlignment="1">
      <alignment horizontal="center" vertical="center" wrapText="1"/>
    </xf>
    <xf numFmtId="0" fontId="2" fillId="9" borderId="43" xfId="0" applyFont="1" applyFill="1" applyBorder="1" applyAlignment="1">
      <alignment horizontal="center" vertical="center"/>
    </xf>
    <xf numFmtId="167" fontId="2" fillId="9" borderId="43" xfId="0" applyNumberFormat="1" applyFont="1" applyFill="1" applyBorder="1" applyAlignment="1">
      <alignment horizontal="center" vertical="center" wrapText="1"/>
    </xf>
    <xf numFmtId="167" fontId="2" fillId="9" borderId="10" xfId="0" applyNumberFormat="1" applyFont="1" applyFill="1" applyBorder="1" applyAlignment="1">
      <alignment horizontal="center" vertical="center" wrapText="1"/>
    </xf>
    <xf numFmtId="167" fontId="2" fillId="10" borderId="44" xfId="0" applyNumberFormat="1" applyFont="1" applyFill="1" applyBorder="1" applyAlignment="1">
      <alignment horizontal="center" vertical="center" wrapText="1"/>
    </xf>
    <xf numFmtId="167" fontId="2" fillId="10" borderId="4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41" xfId="0" applyBorder="1"/>
    <xf numFmtId="0" fontId="0" fillId="0" borderId="0" xfId="0" applyBorder="1"/>
    <xf numFmtId="0" fontId="0" fillId="0" borderId="42" xfId="0" applyBorder="1"/>
    <xf numFmtId="0" fontId="0" fillId="0" borderId="0" xfId="0" applyBorder="1" applyAlignment="1"/>
    <xf numFmtId="0" fontId="5" fillId="0" borderId="41" xfId="0" applyFont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/>
    <xf numFmtId="166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7" fontId="0" fillId="6" borderId="18" xfId="0" applyNumberFormat="1" applyFill="1" applyBorder="1" applyAlignment="1">
      <alignment horizontal="center" vertical="center" wrapText="1"/>
    </xf>
    <xf numFmtId="167" fontId="0" fillId="5" borderId="18" xfId="0" applyNumberFormat="1" applyFill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 vertical="center" wrapText="1"/>
    </xf>
    <xf numFmtId="167" fontId="0" fillId="5" borderId="1" xfId="0" applyNumberForma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Alignment="1">
      <alignment horizontal="center" vertical="center" wrapText="1"/>
    </xf>
    <xf numFmtId="167" fontId="0" fillId="6" borderId="20" xfId="0" applyNumberFormat="1" applyFill="1" applyBorder="1" applyAlignment="1">
      <alignment horizontal="center" vertical="center" wrapText="1"/>
    </xf>
    <xf numFmtId="167" fontId="0" fillId="5" borderId="23" xfId="0" applyNumberFormat="1" applyFill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 wrapText="1"/>
    </xf>
    <xf numFmtId="167" fontId="0" fillId="3" borderId="1" xfId="0" applyNumberFormat="1" applyFill="1" applyBorder="1" applyAlignment="1">
      <alignment horizontal="center" vertical="center" wrapText="1"/>
    </xf>
    <xf numFmtId="167" fontId="1" fillId="7" borderId="18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11" borderId="1" xfId="0" applyFill="1" applyBorder="1" applyAlignment="1" applyProtection="1">
      <alignment horizontal="center" vertical="center" wrapText="1"/>
      <protection locked="0"/>
    </xf>
    <xf numFmtId="167" fontId="0" fillId="11" borderId="1" xfId="0" applyNumberFormat="1" applyFill="1" applyBorder="1" applyAlignment="1" applyProtection="1">
      <alignment horizontal="center" vertical="center"/>
      <protection locked="0"/>
    </xf>
    <xf numFmtId="167" fontId="0" fillId="11" borderId="1" xfId="0" applyNumberFormat="1" applyFill="1" applyBorder="1" applyAlignment="1" applyProtection="1">
      <alignment horizontal="center" vertical="center" wrapText="1"/>
      <protection locked="0"/>
    </xf>
    <xf numFmtId="0" fontId="0" fillId="11" borderId="1" xfId="0" applyFill="1" applyBorder="1" applyAlignment="1" applyProtection="1">
      <alignment horizontal="left" vertical="center" wrapText="1"/>
      <protection locked="0"/>
    </xf>
    <xf numFmtId="167" fontId="0" fillId="0" borderId="1" xfId="0" applyNumberFormat="1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0" fillId="11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11" borderId="26" xfId="0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11" borderId="7" xfId="0" applyFill="1" applyBorder="1" applyAlignment="1" applyProtection="1">
      <alignment horizontal="center" vertical="center" wrapText="1"/>
      <protection locked="0"/>
    </xf>
    <xf numFmtId="2" fontId="0" fillId="0" borderId="1" xfId="0" applyNumberFormat="1" applyFill="1" applyBorder="1" applyAlignment="1" applyProtection="1">
      <alignment horizontal="center" vertical="center" wrapText="1"/>
    </xf>
    <xf numFmtId="2" fontId="0" fillId="11" borderId="1" xfId="0" applyNumberForma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ill="1" applyBorder="1" applyAlignment="1" applyProtection="1">
      <alignment horizontal="center" vertical="center" wrapText="1"/>
    </xf>
    <xf numFmtId="2" fontId="0" fillId="11" borderId="7" xfId="0" applyNumberFormat="1" applyFill="1" applyBorder="1" applyAlignment="1" applyProtection="1">
      <alignment horizontal="center" vertical="center" wrapText="1"/>
      <protection locked="0"/>
    </xf>
    <xf numFmtId="2" fontId="0" fillId="4" borderId="9" xfId="0" applyNumberFormat="1" applyFill="1" applyBorder="1" applyAlignment="1" applyProtection="1">
      <alignment horizontal="center" vertical="center" wrapText="1"/>
    </xf>
    <xf numFmtId="2" fontId="0" fillId="0" borderId="9" xfId="0" applyNumberFormat="1" applyBorder="1" applyAlignment="1" applyProtection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 vertical="center" wrapText="1"/>
    </xf>
    <xf numFmtId="12" fontId="0" fillId="0" borderId="0" xfId="0" applyNumberFormat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14" fontId="0" fillId="11" borderId="7" xfId="0" applyNumberFormat="1" applyFill="1" applyBorder="1" applyAlignment="1" applyProtection="1">
      <alignment horizontal="center" vertical="center" wrapText="1"/>
      <protection locked="0"/>
    </xf>
    <xf numFmtId="164" fontId="0" fillId="11" borderId="7" xfId="1" applyNumberFormat="1" applyFont="1" applyFill="1" applyBorder="1" applyAlignment="1" applyProtection="1">
      <alignment horizontal="center" vertical="center" wrapText="1"/>
      <protection locked="0"/>
    </xf>
    <xf numFmtId="164" fontId="0" fillId="11" borderId="10" xfId="1" applyNumberFormat="1" applyFont="1" applyFill="1" applyBorder="1" applyAlignment="1" applyProtection="1">
      <alignment horizontal="center" vertical="center" wrapText="1"/>
      <protection locked="0"/>
    </xf>
    <xf numFmtId="164" fontId="0" fillId="11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11" borderId="9" xfId="1" applyNumberFormat="1" applyFont="1" applyFill="1" applyBorder="1" applyAlignment="1" applyProtection="1">
      <alignment horizontal="center" vertical="center" wrapText="1"/>
      <protection locked="0"/>
    </xf>
    <xf numFmtId="168" fontId="0" fillId="0" borderId="12" xfId="2" applyNumberFormat="1" applyFont="1" applyBorder="1" applyAlignment="1">
      <alignment horizontal="center"/>
    </xf>
    <xf numFmtId="168" fontId="0" fillId="0" borderId="13" xfId="2" applyNumberFormat="1" applyFont="1" applyBorder="1" applyAlignment="1">
      <alignment horizontal="center"/>
    </xf>
    <xf numFmtId="9" fontId="0" fillId="11" borderId="1" xfId="2" applyFont="1" applyFill="1" applyBorder="1" applyAlignment="1" applyProtection="1">
      <alignment horizontal="center" vertical="center" wrapText="1"/>
      <protection locked="0"/>
    </xf>
    <xf numFmtId="0" fontId="0" fillId="0" borderId="57" xfId="0" applyBorder="1" applyAlignment="1">
      <alignment horizontal="center"/>
    </xf>
    <xf numFmtId="0" fontId="0" fillId="11" borderId="10" xfId="0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</xf>
    <xf numFmtId="9" fontId="0" fillId="11" borderId="7" xfId="2" applyFont="1" applyFill="1" applyBorder="1" applyAlignment="1" applyProtection="1">
      <alignment horizontal="center" vertical="center" wrapText="1"/>
      <protection locked="0"/>
    </xf>
    <xf numFmtId="9" fontId="0" fillId="11" borderId="9" xfId="2" applyFont="1" applyFill="1" applyBorder="1" applyAlignment="1" applyProtection="1">
      <alignment horizontal="center" vertical="center" wrapText="1"/>
      <protection locked="0"/>
    </xf>
    <xf numFmtId="9" fontId="0" fillId="11" borderId="10" xfId="2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2" fontId="0" fillId="4" borderId="7" xfId="0" applyNumberFormat="1" applyFill="1" applyBorder="1" applyAlignment="1">
      <alignment horizontal="center" vertical="center" wrapText="1"/>
    </xf>
    <xf numFmtId="2" fontId="2" fillId="10" borderId="10" xfId="0" applyNumberFormat="1" applyFont="1" applyFill="1" applyBorder="1" applyAlignment="1">
      <alignment horizontal="center" vertical="center" wrapText="1"/>
    </xf>
    <xf numFmtId="167" fontId="2" fillId="0" borderId="59" xfId="0" applyNumberFormat="1" applyFont="1" applyBorder="1" applyAlignment="1">
      <alignment horizontal="center"/>
    </xf>
    <xf numFmtId="167" fontId="2" fillId="0" borderId="60" xfId="0" applyNumberFormat="1" applyFont="1" applyBorder="1" applyAlignment="1">
      <alignment horizontal="center"/>
    </xf>
    <xf numFmtId="0" fontId="6" fillId="2" borderId="2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3" xfId="0" applyBorder="1" applyAlignment="1" applyProtection="1">
      <alignment horizontal="left"/>
      <protection locked="0"/>
    </xf>
    <xf numFmtId="0" fontId="0" fillId="0" borderId="47" xfId="0" applyBorder="1" applyAlignment="1" applyProtection="1">
      <alignment horizontal="left"/>
      <protection locked="0"/>
    </xf>
    <xf numFmtId="0" fontId="7" fillId="11" borderId="54" xfId="0" applyFont="1" applyFill="1" applyBorder="1" applyAlignment="1" applyProtection="1">
      <alignment horizontal="left"/>
      <protection locked="0"/>
    </xf>
    <xf numFmtId="0" fontId="7" fillId="11" borderId="44" xfId="0" applyFont="1" applyFill="1" applyBorder="1" applyAlignment="1" applyProtection="1">
      <alignment horizontal="left"/>
      <protection locked="0"/>
    </xf>
    <xf numFmtId="0" fontId="7" fillId="11" borderId="46" xfId="0" applyFont="1" applyFill="1" applyBorder="1" applyAlignment="1" applyProtection="1">
      <alignment horizontal="left"/>
      <protection locked="0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2" fontId="2" fillId="0" borderId="30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167" fontId="0" fillId="0" borderId="4" xfId="0" applyNumberFormat="1" applyBorder="1" applyAlignment="1">
      <alignment horizontal="center"/>
    </xf>
    <xf numFmtId="167" fontId="0" fillId="0" borderId="5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167" fontId="0" fillId="0" borderId="59" xfId="0" applyNumberFormat="1" applyBorder="1" applyAlignment="1">
      <alignment horizontal="center"/>
    </xf>
    <xf numFmtId="167" fontId="0" fillId="0" borderId="60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44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167" fontId="2" fillId="10" borderId="9" xfId="0" applyNumberFormat="1" applyFont="1" applyFill="1" applyBorder="1" applyAlignment="1">
      <alignment horizontal="center" vertical="center" wrapText="1"/>
    </xf>
    <xf numFmtId="167" fontId="0" fillId="4" borderId="1" xfId="0" applyNumberForma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ITIAL DATA'!A4"/><Relationship Id="rId2" Type="http://schemas.openxmlformats.org/officeDocument/2006/relationships/hyperlink" Target="#NPT!A4"/><Relationship Id="rId1" Type="http://schemas.openxmlformats.org/officeDocument/2006/relationships/hyperlink" Target="#'AVERAGE COST'!A4"/><Relationship Id="rId5" Type="http://schemas.openxmlformats.org/officeDocument/2006/relationships/hyperlink" Target="#'AFE SUMMARY'!A4"/><Relationship Id="rId4" Type="http://schemas.openxmlformats.org/officeDocument/2006/relationships/hyperlink" Target="#'AFE DETAILED'!A1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MENU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hyperlink" Target="#MENU!A1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MENU!A1"/><Relationship Id="rId5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hyperlink" Target="#MENU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#MENU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9523</xdr:colOff>
      <xdr:row>8</xdr:row>
      <xdr:rowOff>9525</xdr:rowOff>
    </xdr:from>
    <xdr:to>
      <xdr:col>8</xdr:col>
      <xdr:colOff>750092</xdr:colOff>
      <xdr:row>10</xdr:row>
      <xdr:rowOff>154781</xdr:rowOff>
    </xdr:to>
    <xdr:sp macro="" textlink="">
      <xdr:nvSpPr>
        <xdr:cNvPr id="3" name="Rectángulo 2"/>
        <xdr:cNvSpPr/>
      </xdr:nvSpPr>
      <xdr:spPr>
        <a:xfrm>
          <a:off x="3938586" y="1700213"/>
          <a:ext cx="2264569" cy="478631"/>
        </a:xfrm>
        <a:prstGeom prst="rect">
          <a:avLst/>
        </a:prstGeom>
        <a:solidFill>
          <a:schemeClr val="accent1">
            <a:lumMod val="75000"/>
          </a:schemeClr>
        </a:solidFill>
        <a:effectLst>
          <a:outerShdw blurRad="50800" dist="635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400" b="1">
              <a:solidFill>
                <a:schemeClr val="bg1"/>
              </a:solidFill>
              <a:latin typeface="+mn-lt"/>
              <a:ea typeface="+mn-ea"/>
              <a:cs typeface="+mn-cs"/>
            </a:rPr>
            <a:t>COST ESTIMATION RESULTS</a:t>
          </a:r>
        </a:p>
      </xdr:txBody>
    </xdr:sp>
    <xdr:clientData/>
  </xdr:twoCellAnchor>
  <xdr:twoCellAnchor>
    <xdr:from>
      <xdr:col>10</xdr:col>
      <xdr:colOff>7142</xdr:colOff>
      <xdr:row>8</xdr:row>
      <xdr:rowOff>7144</xdr:rowOff>
    </xdr:from>
    <xdr:to>
      <xdr:col>12</xdr:col>
      <xdr:colOff>747711</xdr:colOff>
      <xdr:row>11</xdr:row>
      <xdr:rowOff>0</xdr:rowOff>
    </xdr:to>
    <xdr:sp macro="" textlink="">
      <xdr:nvSpPr>
        <xdr:cNvPr id="4" name="Rectángulo 3"/>
        <xdr:cNvSpPr/>
      </xdr:nvSpPr>
      <xdr:spPr>
        <a:xfrm>
          <a:off x="6984205" y="1697832"/>
          <a:ext cx="2264569" cy="492918"/>
        </a:xfrm>
        <a:prstGeom prst="rect">
          <a:avLst/>
        </a:prstGeom>
        <a:solidFill>
          <a:schemeClr val="accent1">
            <a:lumMod val="75000"/>
          </a:schemeClr>
        </a:solidFill>
        <a:effectLst>
          <a:outerShdw blurRad="50800" dist="635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400" b="1">
              <a:solidFill>
                <a:schemeClr val="bg1"/>
              </a:solidFill>
              <a:latin typeface="+mn-lt"/>
              <a:ea typeface="+mn-ea"/>
              <a:cs typeface="+mn-cs"/>
            </a:rPr>
            <a:t>CONTROL PANEL</a:t>
          </a:r>
        </a:p>
      </xdr:txBody>
    </xdr:sp>
    <xdr:clientData/>
  </xdr:twoCellAnchor>
  <xdr:twoCellAnchor>
    <xdr:from>
      <xdr:col>2</xdr:col>
      <xdr:colOff>11906</xdr:colOff>
      <xdr:row>8</xdr:row>
      <xdr:rowOff>11907</xdr:rowOff>
    </xdr:from>
    <xdr:to>
      <xdr:col>4</xdr:col>
      <xdr:colOff>752475</xdr:colOff>
      <xdr:row>11</xdr:row>
      <xdr:rowOff>0</xdr:rowOff>
    </xdr:to>
    <xdr:sp macro="" textlink="">
      <xdr:nvSpPr>
        <xdr:cNvPr id="5" name="Rectángulo 4"/>
        <xdr:cNvSpPr/>
      </xdr:nvSpPr>
      <xdr:spPr>
        <a:xfrm>
          <a:off x="892969" y="1702595"/>
          <a:ext cx="2264569" cy="488155"/>
        </a:xfrm>
        <a:prstGeom prst="rect">
          <a:avLst/>
        </a:prstGeom>
        <a:solidFill>
          <a:schemeClr val="accent1">
            <a:lumMod val="75000"/>
          </a:schemeClr>
        </a:solidFill>
        <a:effectLst>
          <a:outerShdw blurRad="50800" dist="635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</a:rPr>
            <a:t>DATA</a:t>
          </a:r>
          <a:r>
            <a:rPr lang="es-CO" sz="1400" b="1" baseline="0">
              <a:solidFill>
                <a:schemeClr val="bg1"/>
              </a:solidFill>
            </a:rPr>
            <a:t> INPUT</a:t>
          </a:r>
          <a:endParaRPr lang="es-CO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0</xdr:colOff>
      <xdr:row>12</xdr:row>
      <xdr:rowOff>1</xdr:rowOff>
    </xdr:from>
    <xdr:to>
      <xdr:col>5</xdr:col>
      <xdr:colOff>11906</xdr:colOff>
      <xdr:row>14</xdr:row>
      <xdr:rowOff>0</xdr:rowOff>
    </xdr:to>
    <xdr:sp macro="" textlink="">
      <xdr:nvSpPr>
        <xdr:cNvPr id="6" name="Rectángulo 5">
          <a:hlinkClick xmlns:r="http://schemas.openxmlformats.org/officeDocument/2006/relationships" r:id="rId1"/>
        </xdr:cNvPr>
        <xdr:cNvSpPr/>
      </xdr:nvSpPr>
      <xdr:spPr>
        <a:xfrm>
          <a:off x="881063" y="2357439"/>
          <a:ext cx="2297906" cy="333374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effectLst>
          <a:outerShdw blurRad="50800" dist="635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WELL MARKET PRICES</a:t>
          </a:r>
        </a:p>
      </xdr:txBody>
    </xdr:sp>
    <xdr:clientData/>
  </xdr:twoCellAnchor>
  <xdr:twoCellAnchor>
    <xdr:from>
      <xdr:col>2</xdr:col>
      <xdr:colOff>0</xdr:colOff>
      <xdr:row>14</xdr:row>
      <xdr:rowOff>166686</xdr:rowOff>
    </xdr:from>
    <xdr:to>
      <xdr:col>5</xdr:col>
      <xdr:colOff>11906</xdr:colOff>
      <xdr:row>16</xdr:row>
      <xdr:rowOff>178592</xdr:rowOff>
    </xdr:to>
    <xdr:sp macro="" textlink="">
      <xdr:nvSpPr>
        <xdr:cNvPr id="7" name="Rectángulo 6">
          <a:hlinkClick xmlns:r="http://schemas.openxmlformats.org/officeDocument/2006/relationships" r:id="rId2"/>
        </xdr:cNvPr>
        <xdr:cNvSpPr/>
      </xdr:nvSpPr>
      <xdr:spPr>
        <a:xfrm>
          <a:off x="881063" y="2964655"/>
          <a:ext cx="2297906" cy="345281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effectLst>
          <a:outerShdw blurRad="50800" dist="635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/>
        <a:lstStyle/>
        <a:p>
          <a:pPr marL="0" indent="0" algn="ctr"/>
          <a:r>
            <a:rPr lang="es-CO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WELL NPT AND OVER COST - HISTORICAL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5</xdr:col>
      <xdr:colOff>11906</xdr:colOff>
      <xdr:row>20</xdr:row>
      <xdr:rowOff>23812</xdr:rowOff>
    </xdr:to>
    <xdr:sp macro="" textlink="">
      <xdr:nvSpPr>
        <xdr:cNvPr id="8" name="Rectángulo 7">
          <a:hlinkClick xmlns:r="http://schemas.openxmlformats.org/officeDocument/2006/relationships" r:id="rId3"/>
        </xdr:cNvPr>
        <xdr:cNvSpPr/>
      </xdr:nvSpPr>
      <xdr:spPr>
        <a:xfrm>
          <a:off x="881063" y="3476625"/>
          <a:ext cx="2297906" cy="357187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effectLst>
          <a:outerShdw blurRad="50800" dist="635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/>
        <a:lstStyle/>
        <a:p>
          <a:pPr marL="0" indent="0" algn="ctr"/>
          <a:r>
            <a:rPr lang="es-CO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DRILLING AND COMPLETION PARAMETERS</a:t>
          </a: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9</xdr:col>
      <xdr:colOff>11906</xdr:colOff>
      <xdr:row>14</xdr:row>
      <xdr:rowOff>-1</xdr:rowOff>
    </xdr:to>
    <xdr:sp macro="" textlink="">
      <xdr:nvSpPr>
        <xdr:cNvPr id="9" name="Rectángulo 8">
          <a:hlinkClick xmlns:r="http://schemas.openxmlformats.org/officeDocument/2006/relationships" r:id="rId4"/>
        </xdr:cNvPr>
        <xdr:cNvSpPr/>
      </xdr:nvSpPr>
      <xdr:spPr>
        <a:xfrm>
          <a:off x="3929063" y="2357438"/>
          <a:ext cx="2297906" cy="333374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effectLst>
          <a:outerShdw blurRad="50800" dist="635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DETAILED AFE</a:t>
          </a:r>
        </a:p>
      </xdr:txBody>
    </xdr:sp>
    <xdr:clientData/>
  </xdr:twoCellAnchor>
  <xdr:twoCellAnchor>
    <xdr:from>
      <xdr:col>6</xdr:col>
      <xdr:colOff>0</xdr:colOff>
      <xdr:row>15</xdr:row>
      <xdr:rowOff>0</xdr:rowOff>
    </xdr:from>
    <xdr:to>
      <xdr:col>9</xdr:col>
      <xdr:colOff>11906</xdr:colOff>
      <xdr:row>16</xdr:row>
      <xdr:rowOff>166686</xdr:rowOff>
    </xdr:to>
    <xdr:sp macro="" textlink="">
      <xdr:nvSpPr>
        <xdr:cNvPr id="10" name="Rectángulo 9">
          <a:hlinkClick xmlns:r="http://schemas.openxmlformats.org/officeDocument/2006/relationships" r:id="rId5"/>
        </xdr:cNvPr>
        <xdr:cNvSpPr/>
      </xdr:nvSpPr>
      <xdr:spPr>
        <a:xfrm>
          <a:off x="3929063" y="2857500"/>
          <a:ext cx="2297906" cy="333374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effectLst>
          <a:outerShdw blurRad="50800" dist="635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SUMMARY AFE</a:t>
          </a:r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13</xdr:col>
      <xdr:colOff>11906</xdr:colOff>
      <xdr:row>14</xdr:row>
      <xdr:rowOff>-1</xdr:rowOff>
    </xdr:to>
    <xdr:sp macro="[0]!Guardar_como" textlink="">
      <xdr:nvSpPr>
        <xdr:cNvPr id="11" name="Rectángulo 10"/>
        <xdr:cNvSpPr/>
      </xdr:nvSpPr>
      <xdr:spPr>
        <a:xfrm>
          <a:off x="6977063" y="2357438"/>
          <a:ext cx="2297906" cy="333374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effectLst>
          <a:outerShdw blurRad="50800" dist="635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SAVE</a:t>
          </a:r>
          <a:r>
            <a:rPr lang="es-CO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AS</a:t>
          </a:r>
          <a:endParaRPr lang="es-CO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0</xdr:colOff>
      <xdr:row>15</xdr:row>
      <xdr:rowOff>0</xdr:rowOff>
    </xdr:from>
    <xdr:to>
      <xdr:col>13</xdr:col>
      <xdr:colOff>11906</xdr:colOff>
      <xdr:row>16</xdr:row>
      <xdr:rowOff>166686</xdr:rowOff>
    </xdr:to>
    <xdr:sp macro="[0]!Guardar" textlink="">
      <xdr:nvSpPr>
        <xdr:cNvPr id="12" name="Rectángulo 11"/>
        <xdr:cNvSpPr/>
      </xdr:nvSpPr>
      <xdr:spPr>
        <a:xfrm>
          <a:off x="6977063" y="2857500"/>
          <a:ext cx="2297906" cy="333374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effectLst>
          <a:outerShdw blurRad="50800" dist="635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SAVE</a:t>
          </a:r>
        </a:p>
      </xdr:txBody>
    </xdr:sp>
    <xdr:clientData/>
  </xdr:twoCellAnchor>
  <xdr:twoCellAnchor>
    <xdr:from>
      <xdr:col>10</xdr:col>
      <xdr:colOff>0</xdr:colOff>
      <xdr:row>18</xdr:row>
      <xdr:rowOff>0</xdr:rowOff>
    </xdr:from>
    <xdr:to>
      <xdr:col>13</xdr:col>
      <xdr:colOff>11906</xdr:colOff>
      <xdr:row>19</xdr:row>
      <xdr:rowOff>166687</xdr:rowOff>
    </xdr:to>
    <xdr:sp macro="[0]!Save_book_pdf" textlink="">
      <xdr:nvSpPr>
        <xdr:cNvPr id="13" name="Rectángulo 12"/>
        <xdr:cNvSpPr/>
      </xdr:nvSpPr>
      <xdr:spPr>
        <a:xfrm>
          <a:off x="6977063" y="3369469"/>
          <a:ext cx="2297906" cy="333374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effectLst>
          <a:outerShdw blurRad="50800" dist="635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O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SAVE</a:t>
          </a:r>
          <a:r>
            <a:rPr lang="es-CO" sz="11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BOOK IN PDF</a:t>
          </a:r>
          <a:endParaRPr lang="es-CO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0</xdr:colOff>
      <xdr:row>21</xdr:row>
      <xdr:rowOff>0</xdr:rowOff>
    </xdr:from>
    <xdr:to>
      <xdr:col>13</xdr:col>
      <xdr:colOff>11906</xdr:colOff>
      <xdr:row>23</xdr:row>
      <xdr:rowOff>35718</xdr:rowOff>
    </xdr:to>
    <xdr:sp macro="[0]!VACIAR" textlink="">
      <xdr:nvSpPr>
        <xdr:cNvPr id="14" name="Rectángulo 13"/>
        <xdr:cNvSpPr/>
      </xdr:nvSpPr>
      <xdr:spPr>
        <a:xfrm>
          <a:off x="6977063" y="3607594"/>
          <a:ext cx="2297906" cy="369093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effectLst>
          <a:outerShdw blurRad="50800" dist="635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/>
        <a:lstStyle/>
        <a:p>
          <a:pPr marL="0" indent="0" algn="ctr"/>
          <a:r>
            <a:rPr lang="es-CO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RESTORE  DRILLING AND COMPLETION PARAMETERS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1</xdr:row>
      <xdr:rowOff>35720</xdr:rowOff>
    </xdr:from>
    <xdr:to>
      <xdr:col>1</xdr:col>
      <xdr:colOff>726281</xdr:colOff>
      <xdr:row>1</xdr:row>
      <xdr:rowOff>546896</xdr:rowOff>
    </xdr:to>
    <xdr:pic>
      <xdr:nvPicPr>
        <xdr:cNvPr id="3" name="Imagen 2" descr="http://4.bp.blogspot.com/-hTRk-er3XlY/TZwLBAy9Y6I/AAAAAAAAAQA/upea2uWVG5A/s1600/back_button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35720"/>
          <a:ext cx="666750" cy="511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809625</xdr:colOff>
      <xdr:row>1</xdr:row>
      <xdr:rowOff>23812</xdr:rowOff>
    </xdr:from>
    <xdr:to>
      <xdr:col>12</xdr:col>
      <xdr:colOff>246652</xdr:colOff>
      <xdr:row>1</xdr:row>
      <xdr:rowOff>509588</xdr:rowOff>
    </xdr:to>
    <xdr:pic macro="[0]!Save_book_pdf">
      <xdr:nvPicPr>
        <xdr:cNvPr id="5" name="Imagen 4" descr="http://icons.iconarchive.com/icons/hopstarter/book/256/Adobe-PDF-Reader-Book-ico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0625" y="142875"/>
          <a:ext cx="472871" cy="485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369093</xdr:colOff>
      <xdr:row>1</xdr:row>
      <xdr:rowOff>71437</xdr:rowOff>
    </xdr:from>
    <xdr:to>
      <xdr:col>13</xdr:col>
      <xdr:colOff>35718</xdr:colOff>
      <xdr:row>1</xdr:row>
      <xdr:rowOff>506072</xdr:rowOff>
    </xdr:to>
    <xdr:pic macro="[0]!Save_Sheet_pdf">
      <xdr:nvPicPr>
        <xdr:cNvPr id="8" name="Imagen 7" descr="http://payload122.cargocollective.com/1/0/22498/4740254/NoP_PDF_downlaod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5937" y="190500"/>
          <a:ext cx="428625" cy="434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119062</xdr:colOff>
      <xdr:row>1</xdr:row>
      <xdr:rowOff>47625</xdr:rowOff>
    </xdr:from>
    <xdr:to>
      <xdr:col>13</xdr:col>
      <xdr:colOff>573881</xdr:colOff>
      <xdr:row>1</xdr:row>
      <xdr:rowOff>514856</xdr:rowOff>
    </xdr:to>
    <xdr:pic macro="[0]!Guardar">
      <xdr:nvPicPr>
        <xdr:cNvPr id="9" name="Imagen 8" descr="http://www.shmoopi.net/wp-content/uploads/2011/10/Save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27906" y="166688"/>
          <a:ext cx="454819" cy="467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35720</xdr:colOff>
      <xdr:row>1</xdr:row>
      <xdr:rowOff>35719</xdr:rowOff>
    </xdr:from>
    <xdr:to>
      <xdr:col>1</xdr:col>
      <xdr:colOff>702470</xdr:colOff>
      <xdr:row>1</xdr:row>
      <xdr:rowOff>546895</xdr:rowOff>
    </xdr:to>
    <xdr:pic>
      <xdr:nvPicPr>
        <xdr:cNvPr id="3" name="Imagen 2" descr="http://4.bp.blogspot.com/-hTRk-er3XlY/TZwLBAy9Y6I/AAAAAAAAAQA/upea2uWVG5A/s1600/back_button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3" y="154782"/>
          <a:ext cx="666750" cy="511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357186</xdr:colOff>
      <xdr:row>1</xdr:row>
      <xdr:rowOff>42355</xdr:rowOff>
    </xdr:from>
    <xdr:to>
      <xdr:col>14</xdr:col>
      <xdr:colOff>812005</xdr:colOff>
      <xdr:row>1</xdr:row>
      <xdr:rowOff>509586</xdr:rowOff>
    </xdr:to>
    <xdr:pic macro="[0]!Guardar">
      <xdr:nvPicPr>
        <xdr:cNvPr id="4" name="Imagen 3" descr="http://www.shmoopi.net/wp-content/uploads/2011/10/Sav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5467" y="161418"/>
          <a:ext cx="454819" cy="467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136728</xdr:colOff>
      <xdr:row>1</xdr:row>
      <xdr:rowOff>47624</xdr:rowOff>
    </xdr:from>
    <xdr:to>
      <xdr:col>13</xdr:col>
      <xdr:colOff>609599</xdr:colOff>
      <xdr:row>1</xdr:row>
      <xdr:rowOff>533400</xdr:rowOff>
    </xdr:to>
    <xdr:pic macro="[0]!Save_book_pdf">
      <xdr:nvPicPr>
        <xdr:cNvPr id="6" name="Imagen 5" descr="http://icons.iconarchive.com/icons/hopstarter/book/256/Adobe-PDF-Reader-Book-icon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85853" y="166687"/>
          <a:ext cx="472871" cy="485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690563</xdr:colOff>
      <xdr:row>1</xdr:row>
      <xdr:rowOff>86858</xdr:rowOff>
    </xdr:from>
    <xdr:to>
      <xdr:col>14</xdr:col>
      <xdr:colOff>250032</xdr:colOff>
      <xdr:row>1</xdr:row>
      <xdr:rowOff>521493</xdr:rowOff>
    </xdr:to>
    <xdr:pic macro="[0]!Save_Sheet_pdf">
      <xdr:nvPicPr>
        <xdr:cNvPr id="8" name="Imagen 7" descr="http://payload122.cargocollective.com/1/0/22498/4740254/NoP_PDF_downlaod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9688" y="205921"/>
          <a:ext cx="428625" cy="434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1</xdr:row>
      <xdr:rowOff>23813</xdr:rowOff>
    </xdr:from>
    <xdr:to>
      <xdr:col>1</xdr:col>
      <xdr:colOff>702469</xdr:colOff>
      <xdr:row>1</xdr:row>
      <xdr:rowOff>534989</xdr:rowOff>
    </xdr:to>
    <xdr:pic>
      <xdr:nvPicPr>
        <xdr:cNvPr id="2" name="Imagen 1" descr="http://4.bp.blogspot.com/-hTRk-er3XlY/TZwLBAy9Y6I/AAAAAAAAAQA/upea2uWVG5A/s1600/back_button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219" y="190501"/>
          <a:ext cx="666750" cy="511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797720</xdr:colOff>
      <xdr:row>1</xdr:row>
      <xdr:rowOff>47625</xdr:rowOff>
    </xdr:from>
    <xdr:to>
      <xdr:col>8</xdr:col>
      <xdr:colOff>1270591</xdr:colOff>
      <xdr:row>1</xdr:row>
      <xdr:rowOff>533401</xdr:rowOff>
    </xdr:to>
    <xdr:pic macro="[0]!Save_book_pdf">
      <xdr:nvPicPr>
        <xdr:cNvPr id="3" name="Imagen 2" descr="http://icons.iconarchive.com/icons/hopstarter/book/256/Adobe-PDF-Reader-Book-ico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6" y="214313"/>
          <a:ext cx="472871" cy="485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500063</xdr:colOff>
      <xdr:row>1</xdr:row>
      <xdr:rowOff>47625</xdr:rowOff>
    </xdr:from>
    <xdr:to>
      <xdr:col>9</xdr:col>
      <xdr:colOff>954882</xdr:colOff>
      <xdr:row>1</xdr:row>
      <xdr:rowOff>514856</xdr:rowOff>
    </xdr:to>
    <xdr:pic macro="[0]!Guardar">
      <xdr:nvPicPr>
        <xdr:cNvPr id="4" name="Imagen 3" descr="http://www.shmoopi.net/wp-content/uploads/2011/10/Save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6688" y="214313"/>
          <a:ext cx="454819" cy="467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1333500</xdr:colOff>
      <xdr:row>1</xdr:row>
      <xdr:rowOff>83343</xdr:rowOff>
    </xdr:from>
    <xdr:to>
      <xdr:col>9</xdr:col>
      <xdr:colOff>321469</xdr:colOff>
      <xdr:row>1</xdr:row>
      <xdr:rowOff>517978</xdr:rowOff>
    </xdr:to>
    <xdr:pic macro="[0]!Save_Sheet_pdf">
      <xdr:nvPicPr>
        <xdr:cNvPr id="5" name="Imagen 4" descr="http://payload122.cargocollective.com/1/0/22498/4740254/NoP_PDF_downlaod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0906" y="250031"/>
          <a:ext cx="428625" cy="434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23812</xdr:rowOff>
    </xdr:from>
    <xdr:to>
      <xdr:col>2</xdr:col>
      <xdr:colOff>392906</xdr:colOff>
      <xdr:row>1</xdr:row>
      <xdr:rowOff>534988</xdr:rowOff>
    </xdr:to>
    <xdr:pic>
      <xdr:nvPicPr>
        <xdr:cNvPr id="2" name="Imagen 1" descr="http://4.bp.blogspot.com/-hTRk-er3XlY/TZwLBAy9Y6I/AAAAAAAAAQA/upea2uWVG5A/s1600/back_button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154781"/>
          <a:ext cx="666750" cy="511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166686</xdr:colOff>
      <xdr:row>1</xdr:row>
      <xdr:rowOff>23813</xdr:rowOff>
    </xdr:from>
    <xdr:to>
      <xdr:col>11</xdr:col>
      <xdr:colOff>639557</xdr:colOff>
      <xdr:row>1</xdr:row>
      <xdr:rowOff>509589</xdr:rowOff>
    </xdr:to>
    <xdr:pic macro="[0]!Save_book_pdf">
      <xdr:nvPicPr>
        <xdr:cNvPr id="3" name="Imagen 2" descr="http://icons.iconarchive.com/icons/hopstarter/book/256/Adobe-PDF-Reader-Book-ico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49" y="154782"/>
          <a:ext cx="472871" cy="485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702469</xdr:colOff>
      <xdr:row>1</xdr:row>
      <xdr:rowOff>71438</xdr:rowOff>
    </xdr:from>
    <xdr:to>
      <xdr:col>12</xdr:col>
      <xdr:colOff>226219</xdr:colOff>
      <xdr:row>1</xdr:row>
      <xdr:rowOff>506073</xdr:rowOff>
    </xdr:to>
    <xdr:pic macro="[0]!Save_Sheet_pdf">
      <xdr:nvPicPr>
        <xdr:cNvPr id="4" name="Imagen 3" descr="http://payload122.cargocollective.com/1/0/22498/4740254/NoP_PDF_downlaod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8032" y="202407"/>
          <a:ext cx="428625" cy="434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297656</xdr:colOff>
      <xdr:row>1</xdr:row>
      <xdr:rowOff>35720</xdr:rowOff>
    </xdr:from>
    <xdr:to>
      <xdr:col>12</xdr:col>
      <xdr:colOff>752475</xdr:colOff>
      <xdr:row>1</xdr:row>
      <xdr:rowOff>502951</xdr:rowOff>
    </xdr:to>
    <xdr:pic macro="[0]!Guardar">
      <xdr:nvPicPr>
        <xdr:cNvPr id="5" name="Imagen 4" descr="http://www.shmoopi.net/wp-content/uploads/2011/10/Save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18094" y="166689"/>
          <a:ext cx="454819" cy="467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59530</xdr:colOff>
      <xdr:row>1</xdr:row>
      <xdr:rowOff>23812</xdr:rowOff>
    </xdr:from>
    <xdr:to>
      <xdr:col>2</xdr:col>
      <xdr:colOff>369093</xdr:colOff>
      <xdr:row>1</xdr:row>
      <xdr:rowOff>534988</xdr:rowOff>
    </xdr:to>
    <xdr:pic>
      <xdr:nvPicPr>
        <xdr:cNvPr id="2" name="Imagen 1" descr="http://4.bp.blogspot.com/-hTRk-er3XlY/TZwLBAy9Y6I/AAAAAAAAAQA/upea2uWVG5A/s1600/back_button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3" y="190500"/>
          <a:ext cx="666750" cy="511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</xdr:colOff>
      <xdr:row>1</xdr:row>
      <xdr:rowOff>47624</xdr:rowOff>
    </xdr:from>
    <xdr:to>
      <xdr:col>17</xdr:col>
      <xdr:colOff>472872</xdr:colOff>
      <xdr:row>1</xdr:row>
      <xdr:rowOff>533400</xdr:rowOff>
    </xdr:to>
    <xdr:pic macro="[0]!Save_book_pdf">
      <xdr:nvPicPr>
        <xdr:cNvPr id="3" name="Imagen 2" descr="http://icons.iconarchive.com/icons/hopstarter/book/256/Adobe-PDF-Reader-Book-icon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8407" y="214312"/>
          <a:ext cx="472871" cy="485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559593</xdr:colOff>
      <xdr:row>1</xdr:row>
      <xdr:rowOff>83343</xdr:rowOff>
    </xdr:from>
    <xdr:to>
      <xdr:col>19</xdr:col>
      <xdr:colOff>166686</xdr:colOff>
      <xdr:row>1</xdr:row>
      <xdr:rowOff>517978</xdr:rowOff>
    </xdr:to>
    <xdr:pic macro="[0]!Save_Sheet_pdf">
      <xdr:nvPicPr>
        <xdr:cNvPr id="4" name="Imagen 3" descr="http://payload122.cargocollective.com/1/0/22498/4740254/NoP_PDF_downlaod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7999" y="250031"/>
          <a:ext cx="428625" cy="434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202406</xdr:colOff>
      <xdr:row>1</xdr:row>
      <xdr:rowOff>47625</xdr:rowOff>
    </xdr:from>
    <xdr:to>
      <xdr:col>19</xdr:col>
      <xdr:colOff>657225</xdr:colOff>
      <xdr:row>1</xdr:row>
      <xdr:rowOff>514856</xdr:rowOff>
    </xdr:to>
    <xdr:pic macro="[0]!Guardar">
      <xdr:nvPicPr>
        <xdr:cNvPr id="5" name="Imagen 4" descr="http://www.shmoopi.net/wp-content/uploads/2011/10/Save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2344" y="214313"/>
          <a:ext cx="454819" cy="467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33"/>
  <sheetViews>
    <sheetView showGridLines="0" showRowColHeaders="0" zoomScale="80" zoomScaleNormal="80" workbookViewId="0">
      <selection activeCell="D4" sqref="D4:N4"/>
    </sheetView>
  </sheetViews>
  <sheetFormatPr baseColWidth="10" defaultColWidth="0" defaultRowHeight="12.75" zeroHeight="1" x14ac:dyDescent="0.2"/>
  <cols>
    <col min="1" max="1" width="1.85546875" customWidth="1"/>
    <col min="2" max="14" width="11.42578125" customWidth="1"/>
    <col min="15" max="15" width="1.85546875" customWidth="1"/>
    <col min="16" max="16384" width="11.42578125" hidden="1"/>
  </cols>
  <sheetData>
    <row r="1" spans="1:14" ht="9.75" customHeight="1" thickBot="1" x14ac:dyDescent="0.25">
      <c r="A1" s="231" t="str">
        <f ca="1">+D5</f>
        <v>Well cost tool empty_150614_2131.</v>
      </c>
    </row>
    <row r="2" spans="1:14" ht="45" customHeight="1" thickBot="1" x14ac:dyDescent="0.25">
      <c r="B2" s="315" t="s">
        <v>587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7"/>
    </row>
    <row r="3" spans="1:14" ht="6" customHeight="1" thickBot="1" x14ac:dyDescent="0.25"/>
    <row r="4" spans="1:14" ht="15.75" x14ac:dyDescent="0.25">
      <c r="B4" s="321" t="s">
        <v>589</v>
      </c>
      <c r="C4" s="322"/>
      <c r="D4" s="327" t="s">
        <v>687</v>
      </c>
      <c r="E4" s="328"/>
      <c r="F4" s="328"/>
      <c r="G4" s="328"/>
      <c r="H4" s="328"/>
      <c r="I4" s="328"/>
      <c r="J4" s="328"/>
      <c r="K4" s="328"/>
      <c r="L4" s="328"/>
      <c r="M4" s="328"/>
      <c r="N4" s="329"/>
    </row>
    <row r="5" spans="1:14" ht="13.5" thickBot="1" x14ac:dyDescent="0.25">
      <c r="B5" s="323" t="s">
        <v>590</v>
      </c>
      <c r="C5" s="324"/>
      <c r="D5" s="325" t="str">
        <f ca="1">MID(CELL("FILENAME",N5),FIND("[",CELL("FILENAME",N34))+1,FIND("]",CELL("FILENAME",N34))-FIND("[",CELL("FILENAME",N34))-5)</f>
        <v>Well cost tool empty_150614_2131.</v>
      </c>
      <c r="E5" s="325"/>
      <c r="F5" s="325"/>
      <c r="G5" s="325"/>
      <c r="H5" s="325"/>
      <c r="I5" s="325"/>
      <c r="J5" s="325"/>
      <c r="K5" s="325"/>
      <c r="L5" s="325"/>
      <c r="M5" s="325"/>
      <c r="N5" s="326"/>
    </row>
    <row r="6" spans="1:14" ht="6" customHeight="1" thickBot="1" x14ac:dyDescent="0.25">
      <c r="B6" s="218"/>
      <c r="C6" s="218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</row>
    <row r="7" spans="1:14" s="310" customFormat="1" ht="15.75" x14ac:dyDescent="0.25">
      <c r="B7" s="318" t="s">
        <v>591</v>
      </c>
      <c r="C7" s="319"/>
      <c r="D7" s="319"/>
      <c r="E7" s="319"/>
      <c r="F7" s="319"/>
      <c r="G7" s="319"/>
      <c r="H7" s="319"/>
      <c r="I7" s="319"/>
      <c r="J7" s="319"/>
      <c r="K7" s="319"/>
      <c r="L7" s="319"/>
      <c r="M7" s="319"/>
      <c r="N7" s="320"/>
    </row>
    <row r="8" spans="1:14" ht="10.5" customHeight="1" x14ac:dyDescent="0.2">
      <c r="B8" s="220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2"/>
    </row>
    <row r="9" spans="1:14" x14ac:dyDescent="0.2">
      <c r="B9" s="220"/>
      <c r="C9" s="221"/>
      <c r="D9" s="221"/>
      <c r="E9" s="223"/>
      <c r="F9" s="221"/>
      <c r="G9" s="221"/>
      <c r="H9" s="221"/>
      <c r="I9" s="221"/>
      <c r="J9" s="221"/>
      <c r="K9" s="221"/>
      <c r="L9" s="221"/>
      <c r="M9" s="221"/>
      <c r="N9" s="222"/>
    </row>
    <row r="10" spans="1:14" x14ac:dyDescent="0.2">
      <c r="B10" s="220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2"/>
    </row>
    <row r="11" spans="1:14" x14ac:dyDescent="0.2">
      <c r="B11" s="220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2"/>
    </row>
    <row r="12" spans="1:14" ht="7.5" customHeight="1" x14ac:dyDescent="0.2">
      <c r="B12" s="220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2"/>
    </row>
    <row r="13" spans="1:14" x14ac:dyDescent="0.2">
      <c r="B13" s="220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2"/>
    </row>
    <row r="14" spans="1:14" x14ac:dyDescent="0.2">
      <c r="B14" s="220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2"/>
    </row>
    <row r="15" spans="1:14" ht="7.5" customHeight="1" x14ac:dyDescent="0.2">
      <c r="B15" s="220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2"/>
    </row>
    <row r="16" spans="1:14" x14ac:dyDescent="0.2">
      <c r="B16" s="220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2"/>
    </row>
    <row r="17" spans="2:14" ht="14.25" x14ac:dyDescent="0.2">
      <c r="B17" s="224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2"/>
    </row>
    <row r="18" spans="2:14" ht="7.5" customHeight="1" x14ac:dyDescent="0.2">
      <c r="B18" s="220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1"/>
      <c r="N18" s="222"/>
    </row>
    <row r="19" spans="2:14" x14ac:dyDescent="0.2">
      <c r="B19" s="220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2"/>
    </row>
    <row r="20" spans="2:14" x14ac:dyDescent="0.2">
      <c r="B20" s="220"/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2"/>
    </row>
    <row r="21" spans="2:14" ht="7.5" customHeight="1" x14ac:dyDescent="0.2">
      <c r="B21" s="220"/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2"/>
    </row>
    <row r="22" spans="2:14" x14ac:dyDescent="0.2">
      <c r="B22" s="220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2"/>
    </row>
    <row r="23" spans="2:14" x14ac:dyDescent="0.2">
      <c r="B23" s="220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2"/>
    </row>
    <row r="24" spans="2:14" ht="10.5" customHeight="1" thickBot="1" x14ac:dyDescent="0.25">
      <c r="B24" s="225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7"/>
    </row>
    <row r="25" spans="2:14" ht="6" customHeight="1" thickBot="1" x14ac:dyDescent="0.25"/>
    <row r="26" spans="2:14" s="310" customFormat="1" ht="15.75" x14ac:dyDescent="0.25">
      <c r="B26" s="318" t="s">
        <v>608</v>
      </c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20"/>
    </row>
    <row r="27" spans="2:14" ht="7.5" customHeight="1" thickBot="1" x14ac:dyDescent="0.25">
      <c r="B27" s="220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2"/>
    </row>
    <row r="28" spans="2:14" x14ac:dyDescent="0.2">
      <c r="B28" s="220"/>
      <c r="C28" s="338" t="s">
        <v>593</v>
      </c>
      <c r="D28" s="339"/>
      <c r="E28" s="339"/>
      <c r="F28" s="344">
        <f>+'AFE SUMMARY'!E94+'AFE SUMMARY'!F94</f>
        <v>0</v>
      </c>
      <c r="G28" s="345"/>
      <c r="H28" s="221"/>
      <c r="I28" s="350" t="s">
        <v>595</v>
      </c>
      <c r="J28" s="351"/>
      <c r="K28" s="351"/>
      <c r="L28" s="354">
        <f>+F28+F29+F30</f>
        <v>0</v>
      </c>
      <c r="M28" s="355"/>
      <c r="N28" s="222"/>
    </row>
    <row r="29" spans="2:14" x14ac:dyDescent="0.2">
      <c r="B29" s="220"/>
      <c r="C29" s="340" t="s">
        <v>592</v>
      </c>
      <c r="D29" s="341"/>
      <c r="E29" s="341"/>
      <c r="F29" s="346">
        <f>+'AFE SUMMARY'!G94+'AFE SUMMARY'!H94+'AFE SUMMARY'!I94+'AFE SUMMARY'!J94+'AFE SUMMARY'!K94</f>
        <v>0</v>
      </c>
      <c r="G29" s="347"/>
      <c r="H29" s="221"/>
      <c r="I29" s="340" t="s">
        <v>600</v>
      </c>
      <c r="J29" s="341"/>
      <c r="K29" s="341"/>
      <c r="L29" s="346">
        <f>+'AFE SUMMARY'!M95+'AFE SUMMARY'!M96+'AFE SUMMARY'!M97+'AFE SUMMARY'!M98</f>
        <v>0</v>
      </c>
      <c r="M29" s="347"/>
      <c r="N29" s="222"/>
    </row>
    <row r="30" spans="2:14" ht="13.5" thickBot="1" x14ac:dyDescent="0.25">
      <c r="B30" s="220"/>
      <c r="C30" s="342" t="s">
        <v>594</v>
      </c>
      <c r="D30" s="343"/>
      <c r="E30" s="343"/>
      <c r="F30" s="348">
        <f>+'AFE SUMMARY'!L94</f>
        <v>0</v>
      </c>
      <c r="G30" s="349"/>
      <c r="H30" s="221"/>
      <c r="I30" s="352" t="s">
        <v>601</v>
      </c>
      <c r="J30" s="353"/>
      <c r="K30" s="353"/>
      <c r="L30" s="313">
        <f>+L28+L29</f>
        <v>0</v>
      </c>
      <c r="M30" s="314"/>
      <c r="N30" s="222"/>
    </row>
    <row r="31" spans="2:14" ht="26.25" customHeight="1" thickBot="1" x14ac:dyDescent="0.25">
      <c r="B31" s="220"/>
      <c r="C31" s="330" t="s">
        <v>682</v>
      </c>
      <c r="D31" s="331"/>
      <c r="E31" s="331"/>
      <c r="F31" s="332">
        <f>+SUM('AFE SUMMARY'!G7:L8)</f>
        <v>0</v>
      </c>
      <c r="G31" s="333"/>
      <c r="H31" s="221"/>
      <c r="I31" s="334" t="s">
        <v>683</v>
      </c>
      <c r="J31" s="335"/>
      <c r="K31" s="335"/>
      <c r="L31" s="336">
        <f>+'AFE SUMMARY'!M102</f>
        <v>0</v>
      </c>
      <c r="M31" s="337"/>
      <c r="N31" s="222"/>
    </row>
    <row r="32" spans="2:14" ht="13.5" thickBot="1" x14ac:dyDescent="0.25">
      <c r="B32" s="225"/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7"/>
    </row>
    <row r="33" ht="8.25" customHeight="1" x14ac:dyDescent="0.2"/>
  </sheetData>
  <sheetProtection algorithmName="SHA-512" hashValue="ChHt6IHLNchGkbtHPAZEonMQJIBl5pag1HeV/OqY4TSGGYA4tpVcuyrzntsK/iqKzGYIWS1ArvEevhN9ROwTCA==" saltValue="ifvKSfnJISkrPo1sk+Y2+Q==" spinCount="100000" sheet="1" objects="1" scenarios="1" selectLockedCells="1"/>
  <mergeCells count="23">
    <mergeCell ref="C31:E31"/>
    <mergeCell ref="F31:G31"/>
    <mergeCell ref="I31:K31"/>
    <mergeCell ref="L31:M31"/>
    <mergeCell ref="B26:N26"/>
    <mergeCell ref="C28:E28"/>
    <mergeCell ref="C29:E29"/>
    <mergeCell ref="C30:E30"/>
    <mergeCell ref="F28:G28"/>
    <mergeCell ref="F29:G29"/>
    <mergeCell ref="F30:G30"/>
    <mergeCell ref="I28:K28"/>
    <mergeCell ref="I29:K29"/>
    <mergeCell ref="I30:K30"/>
    <mergeCell ref="L28:M28"/>
    <mergeCell ref="L29:M29"/>
    <mergeCell ref="L30:M30"/>
    <mergeCell ref="B2:N2"/>
    <mergeCell ref="B7:N7"/>
    <mergeCell ref="B4:C4"/>
    <mergeCell ref="B5:C5"/>
    <mergeCell ref="D5:N5"/>
    <mergeCell ref="D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9" orientation="landscape" r:id="rId1"/>
  <headerFooter>
    <oddFooter>&amp;C&amp;F
page &amp;P of &amp;N
Well Cost Estimation tool V1.0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0"/>
  <sheetViews>
    <sheetView showGridLines="0" showRowColHeaders="0" zoomScale="80" zoomScaleNormal="80" workbookViewId="0">
      <pane xSplit="4" ySplit="3" topLeftCell="E4" activePane="bottomRight" state="frozenSplit"/>
      <selection pane="topRight" activeCell="B1" sqref="B1"/>
      <selection pane="bottomLeft" activeCell="A3" sqref="A3"/>
      <selection pane="bottomRight" activeCell="G15" sqref="G15"/>
    </sheetView>
  </sheetViews>
  <sheetFormatPr baseColWidth="10" defaultColWidth="0" defaultRowHeight="12.75" zeroHeight="1" x14ac:dyDescent="0.2"/>
  <cols>
    <col min="1" max="1" width="1.7109375" style="28" customWidth="1"/>
    <col min="2" max="2" width="36.140625" style="103" customWidth="1"/>
    <col min="3" max="3" width="15.5703125" style="28" bestFit="1" customWidth="1"/>
    <col min="4" max="4" width="15.5703125" style="108" customWidth="1"/>
    <col min="5" max="5" width="15" style="28" bestFit="1" customWidth="1"/>
    <col min="6" max="12" width="15.5703125" style="28" bestFit="1" customWidth="1"/>
    <col min="13" max="14" width="11.42578125" style="28" customWidth="1"/>
    <col min="15" max="15" width="1.7109375" style="28" customWidth="1"/>
    <col min="16" max="16384" width="11.42578125" style="28" hidden="1"/>
  </cols>
  <sheetData>
    <row r="1" spans="1:14" ht="9" customHeight="1" thickBot="1" x14ac:dyDescent="0.25">
      <c r="A1" s="229" t="str">
        <f ca="1">+MENU!D5</f>
        <v>Well cost tool empty_150614_2131.</v>
      </c>
    </row>
    <row r="2" spans="1:14" ht="45" customHeight="1" thickBot="1" x14ac:dyDescent="0.25">
      <c r="B2" s="315" t="s">
        <v>588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7"/>
    </row>
    <row r="3" spans="1:14" ht="13.5" thickBot="1" x14ac:dyDescent="0.25">
      <c r="B3" s="131"/>
      <c r="C3" s="132" t="s">
        <v>560</v>
      </c>
      <c r="D3" s="133" t="s">
        <v>569</v>
      </c>
      <c r="E3" s="149" t="s">
        <v>551</v>
      </c>
      <c r="F3" s="150" t="s">
        <v>552</v>
      </c>
      <c r="G3" s="150" t="s">
        <v>553</v>
      </c>
      <c r="H3" s="150" t="s">
        <v>554</v>
      </c>
      <c r="I3" s="150" t="s">
        <v>555</v>
      </c>
      <c r="J3" s="150" t="s">
        <v>556</v>
      </c>
      <c r="K3" s="150" t="s">
        <v>557</v>
      </c>
      <c r="L3" s="150" t="s">
        <v>558</v>
      </c>
      <c r="M3" s="150" t="s">
        <v>561</v>
      </c>
      <c r="N3" s="150" t="s">
        <v>562</v>
      </c>
    </row>
    <row r="4" spans="1:14" ht="13.5" thickBot="1" x14ac:dyDescent="0.25">
      <c r="A4" s="246"/>
      <c r="B4" s="356" t="s">
        <v>559</v>
      </c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8"/>
    </row>
    <row r="5" spans="1:14" x14ac:dyDescent="0.2">
      <c r="B5" s="134" t="s">
        <v>566</v>
      </c>
      <c r="C5" s="135">
        <f>+IF(ISERROR(AVERAGE(E5:N5)),0,AVERAGE(E5:N5))</f>
        <v>0</v>
      </c>
      <c r="D5" s="136">
        <v>1</v>
      </c>
      <c r="E5" s="151"/>
      <c r="F5" s="152"/>
      <c r="G5" s="152"/>
      <c r="H5" s="152"/>
      <c r="I5" s="152"/>
      <c r="J5" s="152"/>
      <c r="K5" s="152"/>
      <c r="L5" s="152"/>
      <c r="M5" s="152"/>
      <c r="N5" s="153"/>
    </row>
    <row r="6" spans="1:14" x14ac:dyDescent="0.2">
      <c r="B6" s="124" t="s">
        <v>567</v>
      </c>
      <c r="C6" s="126">
        <f>+IF(ISERROR(AVERAGE(E6:N6)),0,AVERAGE(E6:N6))</f>
        <v>0</v>
      </c>
      <c r="D6" s="137">
        <f>IF(ISERROR(C6/C5-1),0,C6/C5-1)</f>
        <v>0</v>
      </c>
      <c r="E6" s="154"/>
      <c r="F6" s="155"/>
      <c r="G6" s="155"/>
      <c r="H6" s="155"/>
      <c r="I6" s="155"/>
      <c r="J6" s="155"/>
      <c r="K6" s="155"/>
      <c r="L6" s="155"/>
      <c r="M6" s="155"/>
      <c r="N6" s="156"/>
    </row>
    <row r="7" spans="1:14" ht="24.75" customHeight="1" x14ac:dyDescent="0.2">
      <c r="B7" s="124" t="s">
        <v>568</v>
      </c>
      <c r="C7" s="126">
        <f>+IF(ISERROR(AVERAGE(E7:N7)),0,AVERAGE(E7:N7))</f>
        <v>0</v>
      </c>
      <c r="D7" s="137">
        <f>IF(ISERROR(C7/$C$6),0,C7/$C$6)</f>
        <v>0</v>
      </c>
      <c r="E7" s="154"/>
      <c r="F7" s="155"/>
      <c r="G7" s="155"/>
      <c r="H7" s="155"/>
      <c r="I7" s="155"/>
      <c r="J7" s="155"/>
      <c r="K7" s="155"/>
      <c r="L7" s="155"/>
      <c r="M7" s="155"/>
      <c r="N7" s="156"/>
    </row>
    <row r="8" spans="1:14" ht="25.5" x14ac:dyDescent="0.2">
      <c r="B8" s="124" t="s">
        <v>570</v>
      </c>
      <c r="C8" s="126">
        <f t="shared" ref="C8:C16" si="0">+IF(ISERROR(AVERAGE(E8:N8)),0,AVERAGE(E8:N8))</f>
        <v>0</v>
      </c>
      <c r="D8" s="137">
        <f t="shared" ref="D8:D9" si="1">IF(ISERROR(C8/$C$6),0,C8/$C$6)</f>
        <v>0</v>
      </c>
      <c r="E8" s="154"/>
      <c r="F8" s="155"/>
      <c r="G8" s="155"/>
      <c r="H8" s="155"/>
      <c r="I8" s="155"/>
      <c r="J8" s="155"/>
      <c r="K8" s="155"/>
      <c r="L8" s="155"/>
      <c r="M8" s="155"/>
      <c r="N8" s="156"/>
    </row>
    <row r="9" spans="1:14" ht="25.5" x14ac:dyDescent="0.2">
      <c r="B9" s="124" t="s">
        <v>571</v>
      </c>
      <c r="C9" s="126">
        <f t="shared" si="0"/>
        <v>0</v>
      </c>
      <c r="D9" s="137">
        <f t="shared" si="1"/>
        <v>0</v>
      </c>
      <c r="E9" s="154"/>
      <c r="F9" s="155"/>
      <c r="G9" s="155"/>
      <c r="H9" s="155"/>
      <c r="I9" s="155"/>
      <c r="J9" s="155"/>
      <c r="K9" s="155"/>
      <c r="L9" s="155"/>
      <c r="M9" s="155"/>
      <c r="N9" s="156"/>
    </row>
    <row r="10" spans="1:14" x14ac:dyDescent="0.2">
      <c r="B10" s="124" t="s">
        <v>572</v>
      </c>
      <c r="C10" s="126">
        <f t="shared" si="0"/>
        <v>0</v>
      </c>
      <c r="D10" s="137">
        <f>IF(ISERROR(C10/$C$6),0,C10/$C$6)</f>
        <v>0</v>
      </c>
      <c r="E10" s="154"/>
      <c r="F10" s="155"/>
      <c r="G10" s="155"/>
      <c r="H10" s="155"/>
      <c r="I10" s="155"/>
      <c r="J10" s="155"/>
      <c r="K10" s="155"/>
      <c r="L10" s="155"/>
      <c r="M10" s="155"/>
      <c r="N10" s="156"/>
    </row>
    <row r="11" spans="1:14" x14ac:dyDescent="0.2">
      <c r="B11" s="124" t="s">
        <v>609</v>
      </c>
      <c r="C11" s="127">
        <f>+IF(ISERROR(AVERAGE(D11:N11)),0,AVERAGE(D11:N11))</f>
        <v>1</v>
      </c>
      <c r="D11" s="137">
        <v>1</v>
      </c>
      <c r="E11" s="157"/>
      <c r="F11" s="158"/>
      <c r="G11" s="158"/>
      <c r="H11" s="158"/>
      <c r="I11" s="158"/>
      <c r="J11" s="158"/>
      <c r="K11" s="158"/>
      <c r="L11" s="158"/>
      <c r="M11" s="155"/>
      <c r="N11" s="156"/>
    </row>
    <row r="12" spans="1:14" x14ac:dyDescent="0.2">
      <c r="B12" s="124" t="s">
        <v>610</v>
      </c>
      <c r="C12" s="127">
        <f t="shared" si="0"/>
        <v>0</v>
      </c>
      <c r="D12" s="137">
        <f>IF(ISERROR(C12/C11-1),0,C12/C11-1)</f>
        <v>-1</v>
      </c>
      <c r="E12" s="157"/>
      <c r="F12" s="158"/>
      <c r="G12" s="158"/>
      <c r="H12" s="158"/>
      <c r="I12" s="158"/>
      <c r="J12" s="158"/>
      <c r="K12" s="158"/>
      <c r="L12" s="158"/>
      <c r="M12" s="155"/>
      <c r="N12" s="156"/>
    </row>
    <row r="13" spans="1:14" ht="25.5" x14ac:dyDescent="0.2">
      <c r="B13" s="124" t="s">
        <v>611</v>
      </c>
      <c r="C13" s="127">
        <f t="shared" si="0"/>
        <v>0</v>
      </c>
      <c r="D13" s="137">
        <f>IF(ISERROR(C13/$C$11),0,C13/$C$11)</f>
        <v>0</v>
      </c>
      <c r="E13" s="157"/>
      <c r="F13" s="158"/>
      <c r="G13" s="158"/>
      <c r="H13" s="158"/>
      <c r="I13" s="158"/>
      <c r="J13" s="158"/>
      <c r="K13" s="158"/>
      <c r="L13" s="158"/>
      <c r="M13" s="155"/>
      <c r="N13" s="159"/>
    </row>
    <row r="14" spans="1:14" ht="25.5" x14ac:dyDescent="0.2">
      <c r="B14" s="124" t="s">
        <v>612</v>
      </c>
      <c r="C14" s="127">
        <f t="shared" si="0"/>
        <v>0</v>
      </c>
      <c r="D14" s="137">
        <f t="shared" ref="D14:D16" si="2">IF(ISERROR(C14/$C$11),0,C14/$C$11)</f>
        <v>0</v>
      </c>
      <c r="E14" s="157"/>
      <c r="F14" s="158"/>
      <c r="G14" s="158"/>
      <c r="H14" s="158"/>
      <c r="I14" s="158"/>
      <c r="J14" s="158"/>
      <c r="K14" s="158"/>
      <c r="L14" s="158"/>
      <c r="M14" s="155"/>
      <c r="N14" s="156"/>
    </row>
    <row r="15" spans="1:14" ht="25.5" x14ac:dyDescent="0.2">
      <c r="B15" s="124" t="s">
        <v>613</v>
      </c>
      <c r="C15" s="127">
        <f t="shared" si="0"/>
        <v>0</v>
      </c>
      <c r="D15" s="137">
        <f t="shared" si="2"/>
        <v>0</v>
      </c>
      <c r="E15" s="157"/>
      <c r="F15" s="158"/>
      <c r="G15" s="158"/>
      <c r="H15" s="158"/>
      <c r="I15" s="158"/>
      <c r="J15" s="158"/>
      <c r="K15" s="158"/>
      <c r="L15" s="158"/>
      <c r="M15" s="155"/>
      <c r="N15" s="156"/>
    </row>
    <row r="16" spans="1:14" ht="28.5" customHeight="1" thickBot="1" x14ac:dyDescent="0.25">
      <c r="B16" s="125" t="s">
        <v>614</v>
      </c>
      <c r="C16" s="128">
        <f t="shared" si="0"/>
        <v>0</v>
      </c>
      <c r="D16" s="138">
        <f t="shared" si="2"/>
        <v>0</v>
      </c>
      <c r="E16" s="160"/>
      <c r="F16" s="161"/>
      <c r="G16" s="161"/>
      <c r="H16" s="161"/>
      <c r="I16" s="161"/>
      <c r="J16" s="161"/>
      <c r="K16" s="161"/>
      <c r="L16" s="161"/>
      <c r="M16" s="162"/>
      <c r="N16" s="163"/>
    </row>
    <row r="17" spans="2:14" ht="13.5" thickBot="1" x14ac:dyDescent="0.25">
      <c r="B17" s="356" t="s">
        <v>538</v>
      </c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8"/>
    </row>
    <row r="18" spans="2:14" x14ac:dyDescent="0.2">
      <c r="B18" s="134" t="s">
        <v>566</v>
      </c>
      <c r="C18" s="135">
        <f>+IF(ISERROR(AVERAGE(E18:N18)),0,AVERAGE(E18:N18))</f>
        <v>0</v>
      </c>
      <c r="D18" s="136">
        <v>1</v>
      </c>
      <c r="E18" s="151"/>
      <c r="F18" s="152"/>
      <c r="G18" s="152"/>
      <c r="H18" s="152"/>
      <c r="I18" s="152"/>
      <c r="J18" s="152"/>
      <c r="K18" s="152"/>
      <c r="L18" s="152"/>
      <c r="M18" s="152"/>
      <c r="N18" s="153"/>
    </row>
    <row r="19" spans="2:14" x14ac:dyDescent="0.2">
      <c r="B19" s="124" t="s">
        <v>567</v>
      </c>
      <c r="C19" s="126">
        <f t="shared" ref="C19:C29" si="3">+IF(ISERROR(AVERAGE(E19:N19)),0,AVERAGE(E19:N19))</f>
        <v>0</v>
      </c>
      <c r="D19" s="137">
        <f>IF(ISERROR(C19/C18-1),0,C19/C18-1)</f>
        <v>0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6"/>
    </row>
    <row r="20" spans="2:14" ht="25.5" x14ac:dyDescent="0.2">
      <c r="B20" s="124" t="s">
        <v>568</v>
      </c>
      <c r="C20" s="126">
        <f t="shared" si="3"/>
        <v>0</v>
      </c>
      <c r="D20" s="137">
        <f>IF(ISERROR(C20/$C$18),0,C20/$C$18)</f>
        <v>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6"/>
    </row>
    <row r="21" spans="2:14" ht="25.5" x14ac:dyDescent="0.2">
      <c r="B21" s="124" t="s">
        <v>570</v>
      </c>
      <c r="C21" s="126">
        <f t="shared" si="3"/>
        <v>0</v>
      </c>
      <c r="D21" s="137">
        <f t="shared" ref="D21:D23" si="4">IF(ISERROR(C21/$C$18),0,C21/$C$18)</f>
        <v>0</v>
      </c>
      <c r="E21" s="154"/>
      <c r="F21" s="155"/>
      <c r="G21" s="155"/>
      <c r="H21" s="155"/>
      <c r="I21" s="155"/>
      <c r="J21" s="155"/>
      <c r="K21" s="155"/>
      <c r="L21" s="155"/>
      <c r="M21" s="155"/>
      <c r="N21" s="156"/>
    </row>
    <row r="22" spans="2:14" ht="25.5" x14ac:dyDescent="0.2">
      <c r="B22" s="124" t="s">
        <v>571</v>
      </c>
      <c r="C22" s="126">
        <f t="shared" si="3"/>
        <v>0</v>
      </c>
      <c r="D22" s="137">
        <f t="shared" si="4"/>
        <v>0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6"/>
    </row>
    <row r="23" spans="2:14" x14ac:dyDescent="0.2">
      <c r="B23" s="124" t="s">
        <v>572</v>
      </c>
      <c r="C23" s="126">
        <f t="shared" si="3"/>
        <v>0</v>
      </c>
      <c r="D23" s="137">
        <f t="shared" si="4"/>
        <v>0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6"/>
    </row>
    <row r="24" spans="2:14" x14ac:dyDescent="0.2">
      <c r="B24" s="124" t="s">
        <v>609</v>
      </c>
      <c r="C24" s="127">
        <f>+IF(ISERROR(AVERAGE(E24:N24)),0,AVERAGE(E24:N24))</f>
        <v>0</v>
      </c>
      <c r="D24" s="137">
        <v>1</v>
      </c>
      <c r="E24" s="157"/>
      <c r="F24" s="158"/>
      <c r="G24" s="158"/>
      <c r="H24" s="158"/>
      <c r="I24" s="158"/>
      <c r="J24" s="158"/>
      <c r="K24" s="158"/>
      <c r="L24" s="158"/>
      <c r="M24" s="155"/>
      <c r="N24" s="156"/>
    </row>
    <row r="25" spans="2:14" x14ac:dyDescent="0.2">
      <c r="B25" s="124" t="s">
        <v>610</v>
      </c>
      <c r="C25" s="127">
        <f>+IF(ISERROR(AVERAGE(E25:N25)),0,AVERAGE(E25:N25))</f>
        <v>0</v>
      </c>
      <c r="D25" s="137">
        <f>IF(ISERROR(C25/C24-1),0,C25/C24-1)</f>
        <v>0</v>
      </c>
      <c r="E25" s="157"/>
      <c r="F25" s="158"/>
      <c r="G25" s="158"/>
      <c r="H25" s="158"/>
      <c r="I25" s="158"/>
      <c r="J25" s="158"/>
      <c r="K25" s="158"/>
      <c r="L25" s="158"/>
      <c r="M25" s="155"/>
      <c r="N25" s="156"/>
    </row>
    <row r="26" spans="2:14" ht="25.5" x14ac:dyDescent="0.2">
      <c r="B26" s="124" t="s">
        <v>611</v>
      </c>
      <c r="C26" s="127">
        <f t="shared" si="3"/>
        <v>0</v>
      </c>
      <c r="D26" s="137">
        <f>IF(ISERROR(C26/$C$24),0,C26/$C$24)</f>
        <v>0</v>
      </c>
      <c r="E26" s="157"/>
      <c r="F26" s="158"/>
      <c r="G26" s="158"/>
      <c r="H26" s="158"/>
      <c r="I26" s="158"/>
      <c r="J26" s="158"/>
      <c r="K26" s="158"/>
      <c r="L26" s="158"/>
      <c r="M26" s="155"/>
      <c r="N26" s="156"/>
    </row>
    <row r="27" spans="2:14" ht="25.5" x14ac:dyDescent="0.2">
      <c r="B27" s="124" t="s">
        <v>612</v>
      </c>
      <c r="C27" s="127">
        <f t="shared" si="3"/>
        <v>0</v>
      </c>
      <c r="D27" s="137">
        <f t="shared" ref="D27:D29" si="5">IF(ISERROR(C27/$C$24),0,C27/$C$24)</f>
        <v>0</v>
      </c>
      <c r="E27" s="157"/>
      <c r="F27" s="158"/>
      <c r="G27" s="158"/>
      <c r="H27" s="158"/>
      <c r="I27" s="158"/>
      <c r="J27" s="158"/>
      <c r="K27" s="158"/>
      <c r="L27" s="158"/>
      <c r="M27" s="155"/>
      <c r="N27" s="156"/>
    </row>
    <row r="28" spans="2:14" ht="25.5" x14ac:dyDescent="0.2">
      <c r="B28" s="124" t="s">
        <v>613</v>
      </c>
      <c r="C28" s="127">
        <f t="shared" si="3"/>
        <v>0</v>
      </c>
      <c r="D28" s="137">
        <f t="shared" si="5"/>
        <v>0</v>
      </c>
      <c r="E28" s="157"/>
      <c r="F28" s="158"/>
      <c r="G28" s="158"/>
      <c r="H28" s="158"/>
      <c r="I28" s="158"/>
      <c r="J28" s="158"/>
      <c r="K28" s="158"/>
      <c r="L28" s="158"/>
      <c r="M28" s="155"/>
      <c r="N28" s="156"/>
    </row>
    <row r="29" spans="2:14" ht="28.5" customHeight="1" thickBot="1" x14ac:dyDescent="0.25">
      <c r="B29" s="125" t="s">
        <v>614</v>
      </c>
      <c r="C29" s="128">
        <f t="shared" si="3"/>
        <v>0</v>
      </c>
      <c r="D29" s="138">
        <f t="shared" si="5"/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2"/>
      <c r="N29" s="163"/>
    </row>
    <row r="30" spans="2:14" ht="9" customHeight="1" x14ac:dyDescent="0.2">
      <c r="E30" s="195"/>
      <c r="F30" s="195"/>
      <c r="G30" s="195"/>
      <c r="H30" s="195"/>
      <c r="I30" s="195"/>
      <c r="J30" s="195"/>
      <c r="K30" s="195"/>
      <c r="L30" s="195"/>
    </row>
  </sheetData>
  <sheetProtection algorithmName="SHA-512" hashValue="uqIt0NZ2J8LRZFUYoC+cOQ+3QobWLbebu+d4r3hxxBe9r7eGmiSweDNzE4E2eap7DhaINGIXZHMeeOVFG8HiZw==" saltValue="cAXlo4MfXyYKEoXHHectlA==" spinCount="100000" sheet="1" objects="1" scenarios="1" selectLockedCells="1"/>
  <mergeCells count="3">
    <mergeCell ref="B2:N2"/>
    <mergeCell ref="B4:N4"/>
    <mergeCell ref="B17:N17"/>
  </mergeCells>
  <dataValidations count="2">
    <dataValidation type="decimal" allowBlank="1" showInputMessage="1" showErrorMessage="1" error="Please enter only numbers. " prompt="Please enter the values in days." sqref="E5:N10 E18:N23">
      <formula1>-1000</formula1>
      <formula2>1000</formula2>
    </dataValidation>
    <dataValidation type="decimal" allowBlank="1" showInputMessage="1" showErrorMessage="1" error="Please enter only numbers. " prompt="Please enter the value of the associated NPT in USD without VAT." sqref="E11:N16 E24:N29">
      <formula1>-999999999</formula1>
      <formula2>999999999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&amp;C&amp;F
&amp;P de &amp;N
Well Cost Estimation tool V1.0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438"/>
  <sheetViews>
    <sheetView showGridLines="0" showRowColHeaders="0" zoomScale="80" zoomScaleNormal="80" workbookViewId="0">
      <pane xSplit="5" ySplit="3" topLeftCell="F22" activePane="bottomRight" state="frozenSplit"/>
      <selection pane="topRight" activeCell="E1" sqref="E1"/>
      <selection pane="bottomLeft" activeCell="A7" sqref="A7"/>
      <selection pane="bottomRight" activeCell="A4" sqref="A4"/>
    </sheetView>
  </sheetViews>
  <sheetFormatPr baseColWidth="10" defaultColWidth="0" defaultRowHeight="12.75" x14ac:dyDescent="0.2"/>
  <cols>
    <col min="1" max="1" width="1.85546875" style="94" customWidth="1"/>
    <col min="2" max="2" width="11.42578125" style="94" bestFit="1" customWidth="1"/>
    <col min="3" max="3" width="31.28515625" style="97" customWidth="1"/>
    <col min="4" max="4" width="11.28515625" style="94" bestFit="1" customWidth="1"/>
    <col min="5" max="5" width="20.7109375" style="29" bestFit="1" customWidth="1"/>
    <col min="6" max="14" width="13" style="95" bestFit="1" customWidth="1"/>
    <col min="15" max="15" width="14.140625" style="95" bestFit="1" customWidth="1"/>
    <col min="16" max="16" width="1.85546875" style="94" customWidth="1"/>
    <col min="17" max="16384" width="11.42578125" style="94" hidden="1"/>
  </cols>
  <sheetData>
    <row r="1" spans="1:15" ht="9.75" customHeight="1" thickBot="1" x14ac:dyDescent="0.25">
      <c r="A1" s="228" t="str">
        <f ca="1">+MENU!D5</f>
        <v>Well cost tool empty_150614_2131.</v>
      </c>
    </row>
    <row r="2" spans="1:15" ht="45" customHeight="1" thickBot="1" x14ac:dyDescent="0.25">
      <c r="B2" s="359" t="s">
        <v>615</v>
      </c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1"/>
    </row>
    <row r="3" spans="1:15" s="96" customFormat="1" ht="13.5" thickBot="1" x14ac:dyDescent="0.25">
      <c r="A3" s="123"/>
      <c r="B3" s="145" t="s">
        <v>499</v>
      </c>
      <c r="C3" s="146" t="s">
        <v>500</v>
      </c>
      <c r="D3" s="147" t="s">
        <v>502</v>
      </c>
      <c r="E3" s="148" t="s">
        <v>501</v>
      </c>
      <c r="F3" s="164" t="s">
        <v>489</v>
      </c>
      <c r="G3" s="165" t="s">
        <v>490</v>
      </c>
      <c r="H3" s="165" t="s">
        <v>491</v>
      </c>
      <c r="I3" s="165" t="s">
        <v>492</v>
      </c>
      <c r="J3" s="165" t="s">
        <v>493</v>
      </c>
      <c r="K3" s="165" t="s">
        <v>494</v>
      </c>
      <c r="L3" s="165" t="s">
        <v>495</v>
      </c>
      <c r="M3" s="165" t="s">
        <v>496</v>
      </c>
      <c r="N3" s="165" t="s">
        <v>497</v>
      </c>
      <c r="O3" s="166" t="s">
        <v>498</v>
      </c>
    </row>
    <row r="4" spans="1:15" x14ac:dyDescent="0.2">
      <c r="A4" s="247"/>
      <c r="B4" s="143">
        <v>11000101</v>
      </c>
      <c r="C4" s="270" t="s">
        <v>94</v>
      </c>
      <c r="D4" s="182" t="s">
        <v>503</v>
      </c>
      <c r="E4" s="144">
        <f>IF(ISERROR(AVERAGE(F4:O4)),0,AVERAGE(F4:O4))</f>
        <v>0</v>
      </c>
      <c r="F4" s="167"/>
      <c r="G4" s="168"/>
      <c r="H4" s="168"/>
      <c r="I4" s="168"/>
      <c r="J4" s="168"/>
      <c r="K4" s="168"/>
      <c r="L4" s="168"/>
      <c r="M4" s="168"/>
      <c r="N4" s="168"/>
      <c r="O4" s="169"/>
    </row>
    <row r="5" spans="1:15" x14ac:dyDescent="0.2">
      <c r="B5" s="139">
        <v>11000102</v>
      </c>
      <c r="C5" s="271" t="s">
        <v>95</v>
      </c>
      <c r="D5" s="178" t="s">
        <v>503</v>
      </c>
      <c r="E5" s="140">
        <f t="shared" ref="E5:E68" si="0">IF(ISERROR(AVERAGE(F5:O5)),0,AVERAGE(F5:O5))</f>
        <v>0</v>
      </c>
      <c r="F5" s="170"/>
      <c r="G5" s="171"/>
      <c r="H5" s="171"/>
      <c r="I5" s="171"/>
      <c r="J5" s="171"/>
      <c r="K5" s="171"/>
      <c r="L5" s="171"/>
      <c r="M5" s="171"/>
      <c r="N5" s="171"/>
      <c r="O5" s="172"/>
    </row>
    <row r="6" spans="1:15" x14ac:dyDescent="0.2">
      <c r="B6" s="139">
        <v>11000103</v>
      </c>
      <c r="C6" s="271" t="s">
        <v>464</v>
      </c>
      <c r="D6" s="178" t="s">
        <v>503</v>
      </c>
      <c r="E6" s="140">
        <f t="shared" si="0"/>
        <v>0</v>
      </c>
      <c r="F6" s="170"/>
      <c r="G6" s="171"/>
      <c r="H6" s="171"/>
      <c r="I6" s="171"/>
      <c r="J6" s="171"/>
      <c r="K6" s="171"/>
      <c r="L6" s="171"/>
      <c r="M6" s="171"/>
      <c r="N6" s="171"/>
      <c r="O6" s="172"/>
    </row>
    <row r="7" spans="1:15" x14ac:dyDescent="0.2">
      <c r="B7" s="139">
        <v>11000104</v>
      </c>
      <c r="C7" s="271" t="s">
        <v>465</v>
      </c>
      <c r="D7" s="178" t="s">
        <v>503</v>
      </c>
      <c r="E7" s="140">
        <f t="shared" si="0"/>
        <v>0</v>
      </c>
      <c r="F7" s="170"/>
      <c r="G7" s="171"/>
      <c r="H7" s="171"/>
      <c r="I7" s="171"/>
      <c r="J7" s="171"/>
      <c r="K7" s="171"/>
      <c r="L7" s="171"/>
      <c r="M7" s="171"/>
      <c r="N7" s="171"/>
      <c r="O7" s="172"/>
    </row>
    <row r="8" spans="1:15" x14ac:dyDescent="0.2">
      <c r="B8" s="139">
        <v>11000105</v>
      </c>
      <c r="C8" s="271" t="s">
        <v>96</v>
      </c>
      <c r="D8" s="178" t="s">
        <v>504</v>
      </c>
      <c r="E8" s="140">
        <f t="shared" si="0"/>
        <v>0</v>
      </c>
      <c r="F8" s="170"/>
      <c r="G8" s="171"/>
      <c r="H8" s="171"/>
      <c r="I8" s="171"/>
      <c r="J8" s="171"/>
      <c r="K8" s="171"/>
      <c r="L8" s="171"/>
      <c r="M8" s="171"/>
      <c r="N8" s="171"/>
      <c r="O8" s="172"/>
    </row>
    <row r="9" spans="1:15" x14ac:dyDescent="0.2">
      <c r="B9" s="139">
        <v>11000106</v>
      </c>
      <c r="C9" s="271" t="s">
        <v>97</v>
      </c>
      <c r="D9" s="178" t="s">
        <v>503</v>
      </c>
      <c r="E9" s="140">
        <f t="shared" si="0"/>
        <v>0</v>
      </c>
      <c r="F9" s="170"/>
      <c r="G9" s="171"/>
      <c r="H9" s="171"/>
      <c r="I9" s="171"/>
      <c r="J9" s="171"/>
      <c r="K9" s="171"/>
      <c r="L9" s="171"/>
      <c r="M9" s="171"/>
      <c r="N9" s="171"/>
      <c r="O9" s="172"/>
    </row>
    <row r="10" spans="1:15" x14ac:dyDescent="0.2">
      <c r="B10" s="139">
        <v>11000107</v>
      </c>
      <c r="C10" s="271" t="s">
        <v>98</v>
      </c>
      <c r="D10" s="178" t="s">
        <v>505</v>
      </c>
      <c r="E10" s="140">
        <f t="shared" si="0"/>
        <v>0</v>
      </c>
      <c r="F10" s="170"/>
      <c r="G10" s="171"/>
      <c r="H10" s="171"/>
      <c r="I10" s="171"/>
      <c r="J10" s="171"/>
      <c r="K10" s="171"/>
      <c r="L10" s="171"/>
      <c r="M10" s="171"/>
      <c r="N10" s="171"/>
      <c r="O10" s="172"/>
    </row>
    <row r="11" spans="1:15" x14ac:dyDescent="0.2">
      <c r="B11" s="139">
        <v>11000108</v>
      </c>
      <c r="C11" s="271" t="s">
        <v>99</v>
      </c>
      <c r="D11" s="178" t="s">
        <v>503</v>
      </c>
      <c r="E11" s="140">
        <f t="shared" si="0"/>
        <v>0</v>
      </c>
      <c r="F11" s="170"/>
      <c r="G11" s="171"/>
      <c r="H11" s="171"/>
      <c r="I11" s="171"/>
      <c r="J11" s="171"/>
      <c r="K11" s="171"/>
      <c r="L11" s="171"/>
      <c r="M11" s="171"/>
      <c r="N11" s="171"/>
      <c r="O11" s="172"/>
    </row>
    <row r="12" spans="1:15" x14ac:dyDescent="0.2">
      <c r="B12" s="139">
        <v>11000109</v>
      </c>
      <c r="C12" s="271" t="s">
        <v>466</v>
      </c>
      <c r="D12" s="178" t="s">
        <v>503</v>
      </c>
      <c r="E12" s="140">
        <f t="shared" si="0"/>
        <v>0</v>
      </c>
      <c r="F12" s="170"/>
      <c r="G12" s="171"/>
      <c r="H12" s="171"/>
      <c r="I12" s="171"/>
      <c r="J12" s="171"/>
      <c r="K12" s="171"/>
      <c r="L12" s="171"/>
      <c r="M12" s="171"/>
      <c r="N12" s="171"/>
      <c r="O12" s="172"/>
    </row>
    <row r="13" spans="1:15" x14ac:dyDescent="0.2">
      <c r="B13" s="139">
        <v>11000201</v>
      </c>
      <c r="C13" s="271" t="s">
        <v>509</v>
      </c>
      <c r="D13" s="178" t="s">
        <v>504</v>
      </c>
      <c r="E13" s="140">
        <f t="shared" si="0"/>
        <v>0</v>
      </c>
      <c r="F13" s="170"/>
      <c r="G13" s="171"/>
      <c r="H13" s="171"/>
      <c r="I13" s="171"/>
      <c r="J13" s="171"/>
      <c r="K13" s="171"/>
      <c r="L13" s="171"/>
      <c r="M13" s="171"/>
      <c r="N13" s="171"/>
      <c r="O13" s="172"/>
    </row>
    <row r="14" spans="1:15" x14ac:dyDescent="0.2">
      <c r="B14" s="139">
        <v>11000202</v>
      </c>
      <c r="C14" s="271" t="s">
        <v>98</v>
      </c>
      <c r="D14" s="178" t="s">
        <v>505</v>
      </c>
      <c r="E14" s="140">
        <f t="shared" si="0"/>
        <v>0</v>
      </c>
      <c r="F14" s="170"/>
      <c r="G14" s="171"/>
      <c r="H14" s="171"/>
      <c r="I14" s="171"/>
      <c r="J14" s="171"/>
      <c r="K14" s="171"/>
      <c r="L14" s="171"/>
      <c r="M14" s="171"/>
      <c r="N14" s="171"/>
      <c r="O14" s="172"/>
    </row>
    <row r="15" spans="1:15" x14ac:dyDescent="0.2">
      <c r="B15" s="141">
        <v>11200101</v>
      </c>
      <c r="C15" s="271" t="s">
        <v>115</v>
      </c>
      <c r="D15" s="178" t="s">
        <v>504</v>
      </c>
      <c r="E15" s="140">
        <f t="shared" si="0"/>
        <v>0</v>
      </c>
      <c r="F15" s="170"/>
      <c r="G15" s="171"/>
      <c r="H15" s="171"/>
      <c r="I15" s="171"/>
      <c r="J15" s="171"/>
      <c r="K15" s="171"/>
      <c r="L15" s="171"/>
      <c r="M15" s="171"/>
      <c r="N15" s="171"/>
      <c r="O15" s="172"/>
    </row>
    <row r="16" spans="1:15" x14ac:dyDescent="0.2">
      <c r="B16" s="141">
        <v>11200102</v>
      </c>
      <c r="C16" s="271" t="s">
        <v>116</v>
      </c>
      <c r="D16" s="178" t="s">
        <v>505</v>
      </c>
      <c r="E16" s="140">
        <f t="shared" si="0"/>
        <v>0</v>
      </c>
      <c r="F16" s="170"/>
      <c r="G16" s="171"/>
      <c r="H16" s="171"/>
      <c r="I16" s="171"/>
      <c r="J16" s="171"/>
      <c r="K16" s="171"/>
      <c r="L16" s="171"/>
      <c r="M16" s="171"/>
      <c r="N16" s="171"/>
      <c r="O16" s="172"/>
    </row>
    <row r="17" spans="2:15" x14ac:dyDescent="0.2">
      <c r="B17" s="141">
        <v>11200103</v>
      </c>
      <c r="C17" s="271" t="s">
        <v>117</v>
      </c>
      <c r="D17" s="178" t="s">
        <v>505</v>
      </c>
      <c r="E17" s="140">
        <f t="shared" si="0"/>
        <v>0</v>
      </c>
      <c r="F17" s="170"/>
      <c r="G17" s="171"/>
      <c r="H17" s="171"/>
      <c r="I17" s="171"/>
      <c r="J17" s="171"/>
      <c r="K17" s="171"/>
      <c r="L17" s="171"/>
      <c r="M17" s="171"/>
      <c r="N17" s="171"/>
      <c r="O17" s="172"/>
    </row>
    <row r="18" spans="2:15" x14ac:dyDescent="0.2">
      <c r="B18" s="141">
        <v>11200104</v>
      </c>
      <c r="C18" s="271" t="s">
        <v>98</v>
      </c>
      <c r="D18" s="178" t="s">
        <v>505</v>
      </c>
      <c r="E18" s="140">
        <f t="shared" si="0"/>
        <v>0</v>
      </c>
      <c r="F18" s="170"/>
      <c r="G18" s="171"/>
      <c r="H18" s="171"/>
      <c r="I18" s="171"/>
      <c r="J18" s="171"/>
      <c r="K18" s="171"/>
      <c r="L18" s="171"/>
      <c r="M18" s="171"/>
      <c r="N18" s="171"/>
      <c r="O18" s="172"/>
    </row>
    <row r="19" spans="2:15" x14ac:dyDescent="0.2">
      <c r="B19" s="139">
        <v>11200201</v>
      </c>
      <c r="C19" s="271" t="s">
        <v>121</v>
      </c>
      <c r="D19" s="178" t="s">
        <v>506</v>
      </c>
      <c r="E19" s="140">
        <f t="shared" si="0"/>
        <v>0</v>
      </c>
      <c r="F19" s="170"/>
      <c r="G19" s="171"/>
      <c r="H19" s="171"/>
      <c r="I19" s="171"/>
      <c r="J19" s="171"/>
      <c r="K19" s="171"/>
      <c r="L19" s="171"/>
      <c r="M19" s="171"/>
      <c r="N19" s="171"/>
      <c r="O19" s="172"/>
    </row>
    <row r="20" spans="2:15" x14ac:dyDescent="0.2">
      <c r="B20" s="141">
        <v>11200202</v>
      </c>
      <c r="C20" s="271" t="s">
        <v>122</v>
      </c>
      <c r="D20" s="178" t="s">
        <v>506</v>
      </c>
      <c r="E20" s="140">
        <f t="shared" si="0"/>
        <v>0</v>
      </c>
      <c r="F20" s="170"/>
      <c r="G20" s="171"/>
      <c r="H20" s="171"/>
      <c r="I20" s="171"/>
      <c r="J20" s="171"/>
      <c r="K20" s="171"/>
      <c r="L20" s="171"/>
      <c r="M20" s="171"/>
      <c r="N20" s="171"/>
      <c r="O20" s="172"/>
    </row>
    <row r="21" spans="2:15" x14ac:dyDescent="0.2">
      <c r="B21" s="139">
        <v>11200301</v>
      </c>
      <c r="C21" s="271" t="s">
        <v>125</v>
      </c>
      <c r="D21" s="178" t="s">
        <v>504</v>
      </c>
      <c r="E21" s="140">
        <f t="shared" si="0"/>
        <v>0</v>
      </c>
      <c r="F21" s="170"/>
      <c r="G21" s="171"/>
      <c r="H21" s="171"/>
      <c r="I21" s="171"/>
      <c r="J21" s="171"/>
      <c r="K21" s="171"/>
      <c r="L21" s="171"/>
      <c r="M21" s="171"/>
      <c r="N21" s="171"/>
      <c r="O21" s="172"/>
    </row>
    <row r="22" spans="2:15" x14ac:dyDescent="0.2">
      <c r="B22" s="139">
        <v>11200302</v>
      </c>
      <c r="C22" s="271" t="s">
        <v>126</v>
      </c>
      <c r="D22" s="178" t="s">
        <v>506</v>
      </c>
      <c r="E22" s="140">
        <f t="shared" si="0"/>
        <v>0</v>
      </c>
      <c r="F22" s="170"/>
      <c r="G22" s="171"/>
      <c r="H22" s="171"/>
      <c r="I22" s="171"/>
      <c r="J22" s="171"/>
      <c r="K22" s="171"/>
      <c r="L22" s="171"/>
      <c r="M22" s="171"/>
      <c r="N22" s="171"/>
      <c r="O22" s="172"/>
    </row>
    <row r="23" spans="2:15" x14ac:dyDescent="0.2">
      <c r="B23" s="139">
        <v>11200401</v>
      </c>
      <c r="C23" s="271" t="s">
        <v>510</v>
      </c>
      <c r="D23" s="178" t="s">
        <v>539</v>
      </c>
      <c r="E23" s="140">
        <f t="shared" si="0"/>
        <v>0</v>
      </c>
      <c r="F23" s="170"/>
      <c r="G23" s="171"/>
      <c r="H23" s="171"/>
      <c r="I23" s="171"/>
      <c r="J23" s="171"/>
      <c r="K23" s="171"/>
      <c r="L23" s="171"/>
      <c r="M23" s="171"/>
      <c r="N23" s="171"/>
      <c r="O23" s="172"/>
    </row>
    <row r="24" spans="2:15" x14ac:dyDescent="0.2">
      <c r="B24" s="141">
        <v>11200701</v>
      </c>
      <c r="C24" s="271" t="s">
        <v>135</v>
      </c>
      <c r="D24" s="178" t="s">
        <v>504</v>
      </c>
      <c r="E24" s="140">
        <f t="shared" si="0"/>
        <v>0</v>
      </c>
      <c r="F24" s="170"/>
      <c r="G24" s="171"/>
      <c r="H24" s="171"/>
      <c r="I24" s="171"/>
      <c r="J24" s="171"/>
      <c r="K24" s="171"/>
      <c r="L24" s="171"/>
      <c r="M24" s="171"/>
      <c r="N24" s="171"/>
      <c r="O24" s="172"/>
    </row>
    <row r="25" spans="2:15" x14ac:dyDescent="0.2">
      <c r="B25" s="141">
        <v>11200702</v>
      </c>
      <c r="C25" s="271" t="s">
        <v>136</v>
      </c>
      <c r="D25" s="178" t="s">
        <v>504</v>
      </c>
      <c r="E25" s="140">
        <f t="shared" si="0"/>
        <v>0</v>
      </c>
      <c r="F25" s="170"/>
      <c r="G25" s="171"/>
      <c r="H25" s="171"/>
      <c r="I25" s="171"/>
      <c r="J25" s="171"/>
      <c r="K25" s="171"/>
      <c r="L25" s="171"/>
      <c r="M25" s="171"/>
      <c r="N25" s="171"/>
      <c r="O25" s="172"/>
    </row>
    <row r="26" spans="2:15" x14ac:dyDescent="0.2">
      <c r="B26" s="141">
        <v>11200703</v>
      </c>
      <c r="C26" s="271" t="s">
        <v>137</v>
      </c>
      <c r="D26" s="178" t="s">
        <v>504</v>
      </c>
      <c r="E26" s="140">
        <f t="shared" si="0"/>
        <v>0</v>
      </c>
      <c r="F26" s="170"/>
      <c r="G26" s="171"/>
      <c r="H26" s="171"/>
      <c r="I26" s="171"/>
      <c r="J26" s="171"/>
      <c r="K26" s="171"/>
      <c r="L26" s="171"/>
      <c r="M26" s="171"/>
      <c r="N26" s="171"/>
      <c r="O26" s="172"/>
    </row>
    <row r="27" spans="2:15" x14ac:dyDescent="0.2">
      <c r="B27" s="141">
        <v>11200704</v>
      </c>
      <c r="C27" s="271" t="s">
        <v>138</v>
      </c>
      <c r="D27" s="178" t="s">
        <v>504</v>
      </c>
      <c r="E27" s="140">
        <f t="shared" si="0"/>
        <v>0</v>
      </c>
      <c r="F27" s="170"/>
      <c r="G27" s="171"/>
      <c r="H27" s="171"/>
      <c r="I27" s="171"/>
      <c r="J27" s="171"/>
      <c r="K27" s="171"/>
      <c r="L27" s="171"/>
      <c r="M27" s="171"/>
      <c r="N27" s="171"/>
      <c r="O27" s="172"/>
    </row>
    <row r="28" spans="2:15" x14ac:dyDescent="0.2">
      <c r="B28" s="141">
        <v>11200705</v>
      </c>
      <c r="C28" s="271" t="s">
        <v>139</v>
      </c>
      <c r="D28" s="178" t="s">
        <v>504</v>
      </c>
      <c r="E28" s="140">
        <f t="shared" si="0"/>
        <v>0</v>
      </c>
      <c r="F28" s="170"/>
      <c r="G28" s="171"/>
      <c r="H28" s="171"/>
      <c r="I28" s="171"/>
      <c r="J28" s="171"/>
      <c r="K28" s="171"/>
      <c r="L28" s="171"/>
      <c r="M28" s="171"/>
      <c r="N28" s="171"/>
      <c r="O28" s="172"/>
    </row>
    <row r="29" spans="2:15" x14ac:dyDescent="0.2">
      <c r="B29" s="141">
        <v>11200706</v>
      </c>
      <c r="C29" s="271" t="s">
        <v>140</v>
      </c>
      <c r="D29" s="178" t="s">
        <v>504</v>
      </c>
      <c r="E29" s="140">
        <f t="shared" si="0"/>
        <v>0</v>
      </c>
      <c r="F29" s="170"/>
      <c r="G29" s="171"/>
      <c r="H29" s="171"/>
      <c r="I29" s="171"/>
      <c r="J29" s="171"/>
      <c r="K29" s="171"/>
      <c r="L29" s="171"/>
      <c r="M29" s="171"/>
      <c r="N29" s="171"/>
      <c r="O29" s="172"/>
    </row>
    <row r="30" spans="2:15" x14ac:dyDescent="0.2">
      <c r="B30" s="141">
        <v>11200707</v>
      </c>
      <c r="C30" s="271" t="s">
        <v>141</v>
      </c>
      <c r="D30" s="178" t="s">
        <v>504</v>
      </c>
      <c r="E30" s="140">
        <f t="shared" si="0"/>
        <v>0</v>
      </c>
      <c r="F30" s="170"/>
      <c r="G30" s="171"/>
      <c r="H30" s="171"/>
      <c r="I30" s="171"/>
      <c r="J30" s="171"/>
      <c r="K30" s="171"/>
      <c r="L30" s="171"/>
      <c r="M30" s="171"/>
      <c r="N30" s="171"/>
      <c r="O30" s="172"/>
    </row>
    <row r="31" spans="2:15" x14ac:dyDescent="0.2">
      <c r="B31" s="141">
        <v>11200708</v>
      </c>
      <c r="C31" s="271" t="s">
        <v>142</v>
      </c>
      <c r="D31" s="178" t="s">
        <v>504</v>
      </c>
      <c r="E31" s="140">
        <f t="shared" si="0"/>
        <v>0</v>
      </c>
      <c r="F31" s="170"/>
      <c r="G31" s="171"/>
      <c r="H31" s="171"/>
      <c r="I31" s="171"/>
      <c r="J31" s="171"/>
      <c r="K31" s="171"/>
      <c r="L31" s="171"/>
      <c r="M31" s="171"/>
      <c r="N31" s="171"/>
      <c r="O31" s="172"/>
    </row>
    <row r="32" spans="2:15" x14ac:dyDescent="0.2">
      <c r="B32" s="139">
        <v>11300101</v>
      </c>
      <c r="C32" s="271" t="s">
        <v>149</v>
      </c>
      <c r="D32" s="178" t="s">
        <v>504</v>
      </c>
      <c r="E32" s="140">
        <f t="shared" si="0"/>
        <v>0</v>
      </c>
      <c r="F32" s="170"/>
      <c r="G32" s="171"/>
      <c r="H32" s="171"/>
      <c r="I32" s="171"/>
      <c r="J32" s="171"/>
      <c r="K32" s="171"/>
      <c r="L32" s="171"/>
      <c r="M32" s="171"/>
      <c r="N32" s="171"/>
      <c r="O32" s="172"/>
    </row>
    <row r="33" spans="2:15" x14ac:dyDescent="0.2">
      <c r="B33" s="139">
        <v>11300102</v>
      </c>
      <c r="C33" s="271" t="s">
        <v>150</v>
      </c>
      <c r="D33" s="178" t="s">
        <v>503</v>
      </c>
      <c r="E33" s="140">
        <f t="shared" si="0"/>
        <v>0</v>
      </c>
      <c r="F33" s="170"/>
      <c r="G33" s="171"/>
      <c r="H33" s="171"/>
      <c r="I33" s="171"/>
      <c r="J33" s="171"/>
      <c r="K33" s="171"/>
      <c r="L33" s="171"/>
      <c r="M33" s="171"/>
      <c r="N33" s="171"/>
      <c r="O33" s="172"/>
    </row>
    <row r="34" spans="2:15" x14ac:dyDescent="0.2">
      <c r="B34" s="139">
        <v>11300103</v>
      </c>
      <c r="C34" s="271" t="s">
        <v>151</v>
      </c>
      <c r="D34" s="178" t="s">
        <v>504</v>
      </c>
      <c r="E34" s="140">
        <f t="shared" si="0"/>
        <v>0</v>
      </c>
      <c r="F34" s="170"/>
      <c r="G34" s="171"/>
      <c r="H34" s="171"/>
      <c r="I34" s="171"/>
      <c r="J34" s="171"/>
      <c r="K34" s="171"/>
      <c r="L34" s="171"/>
      <c r="M34" s="171"/>
      <c r="N34" s="171"/>
      <c r="O34" s="172"/>
    </row>
    <row r="35" spans="2:15" x14ac:dyDescent="0.2">
      <c r="B35" s="139">
        <v>11300104</v>
      </c>
      <c r="C35" s="271" t="s">
        <v>152</v>
      </c>
      <c r="D35" s="178" t="s">
        <v>504</v>
      </c>
      <c r="E35" s="140">
        <f t="shared" si="0"/>
        <v>0</v>
      </c>
      <c r="F35" s="170"/>
      <c r="G35" s="171"/>
      <c r="H35" s="171"/>
      <c r="I35" s="171"/>
      <c r="J35" s="171"/>
      <c r="K35" s="171"/>
      <c r="L35" s="171"/>
      <c r="M35" s="171"/>
      <c r="N35" s="171"/>
      <c r="O35" s="172"/>
    </row>
    <row r="36" spans="2:15" x14ac:dyDescent="0.2">
      <c r="B36" s="139">
        <v>11300105</v>
      </c>
      <c r="C36" s="271" t="s">
        <v>153</v>
      </c>
      <c r="D36" s="178" t="s">
        <v>504</v>
      </c>
      <c r="E36" s="140">
        <f t="shared" si="0"/>
        <v>0</v>
      </c>
      <c r="F36" s="170"/>
      <c r="G36" s="171"/>
      <c r="H36" s="171"/>
      <c r="I36" s="171"/>
      <c r="J36" s="171"/>
      <c r="K36" s="171"/>
      <c r="L36" s="171"/>
      <c r="M36" s="171"/>
      <c r="N36" s="171"/>
      <c r="O36" s="172"/>
    </row>
    <row r="37" spans="2:15" x14ac:dyDescent="0.2">
      <c r="B37" s="139">
        <v>11300106</v>
      </c>
      <c r="C37" s="271" t="s">
        <v>154</v>
      </c>
      <c r="D37" s="178" t="s">
        <v>504</v>
      </c>
      <c r="E37" s="140">
        <f t="shared" si="0"/>
        <v>0</v>
      </c>
      <c r="F37" s="170"/>
      <c r="G37" s="171"/>
      <c r="H37" s="171"/>
      <c r="I37" s="171"/>
      <c r="J37" s="171"/>
      <c r="K37" s="171"/>
      <c r="L37" s="171"/>
      <c r="M37" s="171"/>
      <c r="N37" s="171"/>
      <c r="O37" s="172"/>
    </row>
    <row r="38" spans="2:15" x14ac:dyDescent="0.2">
      <c r="B38" s="139">
        <v>11300201</v>
      </c>
      <c r="C38" s="271" t="s">
        <v>159</v>
      </c>
      <c r="D38" s="178" t="s">
        <v>504</v>
      </c>
      <c r="E38" s="140">
        <f t="shared" si="0"/>
        <v>0</v>
      </c>
      <c r="F38" s="170"/>
      <c r="G38" s="171"/>
      <c r="H38" s="171"/>
      <c r="I38" s="171"/>
      <c r="J38" s="171"/>
      <c r="K38" s="171"/>
      <c r="L38" s="171"/>
      <c r="M38" s="171"/>
      <c r="N38" s="171"/>
      <c r="O38" s="172"/>
    </row>
    <row r="39" spans="2:15" x14ac:dyDescent="0.2">
      <c r="B39" s="139">
        <v>11300202</v>
      </c>
      <c r="C39" s="271" t="s">
        <v>160</v>
      </c>
      <c r="D39" s="178" t="s">
        <v>504</v>
      </c>
      <c r="E39" s="140">
        <f t="shared" si="0"/>
        <v>0</v>
      </c>
      <c r="F39" s="170"/>
      <c r="G39" s="171"/>
      <c r="H39" s="171"/>
      <c r="I39" s="171"/>
      <c r="J39" s="171"/>
      <c r="K39" s="171"/>
      <c r="L39" s="171"/>
      <c r="M39" s="171"/>
      <c r="N39" s="171"/>
      <c r="O39" s="172"/>
    </row>
    <row r="40" spans="2:15" x14ac:dyDescent="0.2">
      <c r="B40" s="139">
        <v>11300203</v>
      </c>
      <c r="C40" s="271" t="s">
        <v>161</v>
      </c>
      <c r="D40" s="178" t="s">
        <v>504</v>
      </c>
      <c r="E40" s="140">
        <f t="shared" si="0"/>
        <v>0</v>
      </c>
      <c r="F40" s="170"/>
      <c r="G40" s="171"/>
      <c r="H40" s="171"/>
      <c r="I40" s="171"/>
      <c r="J40" s="171"/>
      <c r="K40" s="171"/>
      <c r="L40" s="171"/>
      <c r="M40" s="171"/>
      <c r="N40" s="171"/>
      <c r="O40" s="172"/>
    </row>
    <row r="41" spans="2:15" x14ac:dyDescent="0.2">
      <c r="B41" s="141">
        <v>11300301</v>
      </c>
      <c r="C41" s="271" t="s">
        <v>159</v>
      </c>
      <c r="D41" s="178" t="s">
        <v>504</v>
      </c>
      <c r="E41" s="140">
        <f t="shared" si="0"/>
        <v>0</v>
      </c>
      <c r="F41" s="170"/>
      <c r="G41" s="171"/>
      <c r="H41" s="171"/>
      <c r="I41" s="171"/>
      <c r="J41" s="171"/>
      <c r="K41" s="171"/>
      <c r="L41" s="171"/>
      <c r="M41" s="171"/>
      <c r="N41" s="171"/>
      <c r="O41" s="172"/>
    </row>
    <row r="42" spans="2:15" x14ac:dyDescent="0.2">
      <c r="B42" s="141">
        <v>11300302</v>
      </c>
      <c r="C42" s="271" t="s">
        <v>166</v>
      </c>
      <c r="D42" s="178" t="s">
        <v>507</v>
      </c>
      <c r="E42" s="140">
        <f t="shared" si="0"/>
        <v>0</v>
      </c>
      <c r="F42" s="170"/>
      <c r="G42" s="171"/>
      <c r="H42" s="171"/>
      <c r="I42" s="171"/>
      <c r="J42" s="171"/>
      <c r="K42" s="171"/>
      <c r="L42" s="171"/>
      <c r="M42" s="171"/>
      <c r="N42" s="171"/>
      <c r="O42" s="172"/>
    </row>
    <row r="43" spans="2:15" x14ac:dyDescent="0.2">
      <c r="B43" s="139">
        <v>11300401</v>
      </c>
      <c r="C43" s="271" t="s">
        <v>159</v>
      </c>
      <c r="D43" s="178" t="s">
        <v>504</v>
      </c>
      <c r="E43" s="140">
        <f t="shared" si="0"/>
        <v>0</v>
      </c>
      <c r="F43" s="170"/>
      <c r="G43" s="171"/>
      <c r="H43" s="171"/>
      <c r="I43" s="171"/>
      <c r="J43" s="171"/>
      <c r="K43" s="171"/>
      <c r="L43" s="171"/>
      <c r="M43" s="171"/>
      <c r="N43" s="171"/>
      <c r="O43" s="172"/>
    </row>
    <row r="44" spans="2:15" x14ac:dyDescent="0.2">
      <c r="B44" s="139">
        <v>11300402</v>
      </c>
      <c r="C44" s="271" t="s">
        <v>165</v>
      </c>
      <c r="D44" s="178" t="s">
        <v>507</v>
      </c>
      <c r="E44" s="140">
        <f t="shared" si="0"/>
        <v>0</v>
      </c>
      <c r="F44" s="170"/>
      <c r="G44" s="171"/>
      <c r="H44" s="171"/>
      <c r="I44" s="171"/>
      <c r="J44" s="171"/>
      <c r="K44" s="171"/>
      <c r="L44" s="171"/>
      <c r="M44" s="171"/>
      <c r="N44" s="171"/>
      <c r="O44" s="172"/>
    </row>
    <row r="45" spans="2:15" x14ac:dyDescent="0.2">
      <c r="B45" s="139">
        <v>11300501</v>
      </c>
      <c r="C45" s="271" t="s">
        <v>159</v>
      </c>
      <c r="D45" s="178" t="s">
        <v>504</v>
      </c>
      <c r="E45" s="140">
        <f t="shared" si="0"/>
        <v>0</v>
      </c>
      <c r="F45" s="170"/>
      <c r="G45" s="171"/>
      <c r="H45" s="171"/>
      <c r="I45" s="171"/>
      <c r="J45" s="171"/>
      <c r="K45" s="171"/>
      <c r="L45" s="171"/>
      <c r="M45" s="171"/>
      <c r="N45" s="171"/>
      <c r="O45" s="172"/>
    </row>
    <row r="46" spans="2:15" x14ac:dyDescent="0.2">
      <c r="B46" s="139">
        <v>11300502</v>
      </c>
      <c r="C46" s="271" t="s">
        <v>174</v>
      </c>
      <c r="D46" s="178" t="s">
        <v>507</v>
      </c>
      <c r="E46" s="140">
        <f t="shared" si="0"/>
        <v>0</v>
      </c>
      <c r="F46" s="170"/>
      <c r="G46" s="171"/>
      <c r="H46" s="171"/>
      <c r="I46" s="171"/>
      <c r="J46" s="171"/>
      <c r="K46" s="171"/>
      <c r="L46" s="171"/>
      <c r="M46" s="171"/>
      <c r="N46" s="171"/>
      <c r="O46" s="172"/>
    </row>
    <row r="47" spans="2:15" x14ac:dyDescent="0.2">
      <c r="B47" s="139">
        <v>11300601</v>
      </c>
      <c r="C47" s="271" t="s">
        <v>159</v>
      </c>
      <c r="D47" s="178" t="s">
        <v>504</v>
      </c>
      <c r="E47" s="140">
        <f t="shared" si="0"/>
        <v>0</v>
      </c>
      <c r="F47" s="170"/>
      <c r="G47" s="171"/>
      <c r="H47" s="171"/>
      <c r="I47" s="171"/>
      <c r="J47" s="171"/>
      <c r="K47" s="171"/>
      <c r="L47" s="171"/>
      <c r="M47" s="171"/>
      <c r="N47" s="171"/>
      <c r="O47" s="172"/>
    </row>
    <row r="48" spans="2:15" x14ac:dyDescent="0.2">
      <c r="B48" s="139">
        <v>11300602</v>
      </c>
      <c r="C48" s="271" t="s">
        <v>179</v>
      </c>
      <c r="D48" s="178" t="s">
        <v>507</v>
      </c>
      <c r="E48" s="140">
        <f t="shared" si="0"/>
        <v>0</v>
      </c>
      <c r="F48" s="170"/>
      <c r="G48" s="171"/>
      <c r="H48" s="171"/>
      <c r="I48" s="171"/>
      <c r="J48" s="171"/>
      <c r="K48" s="171"/>
      <c r="L48" s="171"/>
      <c r="M48" s="171"/>
      <c r="N48" s="171"/>
      <c r="O48" s="172"/>
    </row>
    <row r="49" spans="2:15" x14ac:dyDescent="0.2">
      <c r="B49" s="139">
        <v>11300701</v>
      </c>
      <c r="C49" s="271" t="s">
        <v>159</v>
      </c>
      <c r="D49" s="178" t="s">
        <v>504</v>
      </c>
      <c r="E49" s="140">
        <f t="shared" si="0"/>
        <v>0</v>
      </c>
      <c r="F49" s="170"/>
      <c r="G49" s="171"/>
      <c r="H49" s="171"/>
      <c r="I49" s="171"/>
      <c r="J49" s="171"/>
      <c r="K49" s="171"/>
      <c r="L49" s="171"/>
      <c r="M49" s="171"/>
      <c r="N49" s="171"/>
      <c r="O49" s="172"/>
    </row>
    <row r="50" spans="2:15" x14ac:dyDescent="0.2">
      <c r="B50" s="139">
        <v>11300702</v>
      </c>
      <c r="C50" s="271" t="s">
        <v>183</v>
      </c>
      <c r="D50" s="178" t="s">
        <v>507</v>
      </c>
      <c r="E50" s="140">
        <f t="shared" si="0"/>
        <v>0</v>
      </c>
      <c r="F50" s="170"/>
      <c r="G50" s="171"/>
      <c r="H50" s="171"/>
      <c r="I50" s="171"/>
      <c r="J50" s="171"/>
      <c r="K50" s="171"/>
      <c r="L50" s="171"/>
      <c r="M50" s="171"/>
      <c r="N50" s="171"/>
      <c r="O50" s="172"/>
    </row>
    <row r="51" spans="2:15" x14ac:dyDescent="0.2">
      <c r="B51" s="139">
        <v>11300801</v>
      </c>
      <c r="C51" s="271" t="s">
        <v>159</v>
      </c>
      <c r="D51" s="178" t="s">
        <v>504</v>
      </c>
      <c r="E51" s="140">
        <f t="shared" si="0"/>
        <v>0</v>
      </c>
      <c r="F51" s="170"/>
      <c r="G51" s="171"/>
      <c r="H51" s="171"/>
      <c r="I51" s="171"/>
      <c r="J51" s="171"/>
      <c r="K51" s="171"/>
      <c r="L51" s="171"/>
      <c r="M51" s="171"/>
      <c r="N51" s="171"/>
      <c r="O51" s="172"/>
    </row>
    <row r="52" spans="2:15" x14ac:dyDescent="0.2">
      <c r="B52" s="139">
        <v>11300802</v>
      </c>
      <c r="C52" s="271" t="s">
        <v>186</v>
      </c>
      <c r="D52" s="178" t="s">
        <v>507</v>
      </c>
      <c r="E52" s="140">
        <f t="shared" si="0"/>
        <v>0</v>
      </c>
      <c r="F52" s="170"/>
      <c r="G52" s="171"/>
      <c r="H52" s="171"/>
      <c r="I52" s="171"/>
      <c r="J52" s="171"/>
      <c r="K52" s="171"/>
      <c r="L52" s="171"/>
      <c r="M52" s="171"/>
      <c r="N52" s="171"/>
      <c r="O52" s="172"/>
    </row>
    <row r="53" spans="2:15" x14ac:dyDescent="0.2">
      <c r="B53" s="139">
        <v>11300803</v>
      </c>
      <c r="C53" s="271" t="s">
        <v>487</v>
      </c>
      <c r="D53" s="178" t="s">
        <v>507</v>
      </c>
      <c r="E53" s="140">
        <f t="shared" si="0"/>
        <v>0</v>
      </c>
      <c r="F53" s="170"/>
      <c r="G53" s="171"/>
      <c r="H53" s="171"/>
      <c r="I53" s="171"/>
      <c r="J53" s="171"/>
      <c r="K53" s="171"/>
      <c r="L53" s="171"/>
      <c r="M53" s="171"/>
      <c r="N53" s="171"/>
      <c r="O53" s="172"/>
    </row>
    <row r="54" spans="2:15" x14ac:dyDescent="0.2">
      <c r="B54" s="139">
        <v>11300901</v>
      </c>
      <c r="C54" s="271" t="s">
        <v>159</v>
      </c>
      <c r="D54" s="178" t="s">
        <v>504</v>
      </c>
      <c r="E54" s="140">
        <f t="shared" si="0"/>
        <v>0</v>
      </c>
      <c r="F54" s="170"/>
      <c r="G54" s="171"/>
      <c r="H54" s="171"/>
      <c r="I54" s="171"/>
      <c r="J54" s="171"/>
      <c r="K54" s="171"/>
      <c r="L54" s="171"/>
      <c r="M54" s="171"/>
      <c r="N54" s="171"/>
      <c r="O54" s="172"/>
    </row>
    <row r="55" spans="2:15" x14ac:dyDescent="0.2">
      <c r="B55" s="139">
        <v>11300902</v>
      </c>
      <c r="C55" s="271" t="s">
        <v>188</v>
      </c>
      <c r="D55" s="178" t="s">
        <v>507</v>
      </c>
      <c r="E55" s="140">
        <f t="shared" si="0"/>
        <v>0</v>
      </c>
      <c r="F55" s="170"/>
      <c r="G55" s="171"/>
      <c r="H55" s="171"/>
      <c r="I55" s="171"/>
      <c r="J55" s="171"/>
      <c r="K55" s="171"/>
      <c r="L55" s="171"/>
      <c r="M55" s="171"/>
      <c r="N55" s="171"/>
      <c r="O55" s="172"/>
    </row>
    <row r="56" spans="2:15" x14ac:dyDescent="0.2">
      <c r="B56" s="139">
        <v>11301001</v>
      </c>
      <c r="C56" s="271" t="s">
        <v>159</v>
      </c>
      <c r="D56" s="178" t="s">
        <v>504</v>
      </c>
      <c r="E56" s="140">
        <f t="shared" si="0"/>
        <v>0</v>
      </c>
      <c r="F56" s="170"/>
      <c r="G56" s="171"/>
      <c r="H56" s="171"/>
      <c r="I56" s="171"/>
      <c r="J56" s="171"/>
      <c r="K56" s="171"/>
      <c r="L56" s="171"/>
      <c r="M56" s="171"/>
      <c r="N56" s="171"/>
      <c r="O56" s="172"/>
    </row>
    <row r="57" spans="2:15" x14ac:dyDescent="0.2">
      <c r="B57" s="139">
        <v>11301002</v>
      </c>
      <c r="C57" s="271" t="s">
        <v>199</v>
      </c>
      <c r="D57" s="178" t="s">
        <v>504</v>
      </c>
      <c r="E57" s="140">
        <f t="shared" si="0"/>
        <v>0</v>
      </c>
      <c r="F57" s="170"/>
      <c r="G57" s="171"/>
      <c r="H57" s="171"/>
      <c r="I57" s="171"/>
      <c r="J57" s="171"/>
      <c r="K57" s="171"/>
      <c r="L57" s="171"/>
      <c r="M57" s="171"/>
      <c r="N57" s="171"/>
      <c r="O57" s="172"/>
    </row>
    <row r="58" spans="2:15" x14ac:dyDescent="0.2">
      <c r="B58" s="139">
        <v>11301003</v>
      </c>
      <c r="C58" s="271" t="s">
        <v>96</v>
      </c>
      <c r="D58" s="178" t="s">
        <v>504</v>
      </c>
      <c r="E58" s="140">
        <f t="shared" si="0"/>
        <v>0</v>
      </c>
      <c r="F58" s="170"/>
      <c r="G58" s="171"/>
      <c r="H58" s="171"/>
      <c r="I58" s="171"/>
      <c r="J58" s="171"/>
      <c r="K58" s="171"/>
      <c r="L58" s="171"/>
      <c r="M58" s="171"/>
      <c r="N58" s="171"/>
      <c r="O58" s="172"/>
    </row>
    <row r="59" spans="2:15" x14ac:dyDescent="0.2">
      <c r="B59" s="139">
        <v>11301004</v>
      </c>
      <c r="C59" s="271" t="s">
        <v>200</v>
      </c>
      <c r="D59" s="178" t="s">
        <v>504</v>
      </c>
      <c r="E59" s="140">
        <f t="shared" si="0"/>
        <v>0</v>
      </c>
      <c r="F59" s="170"/>
      <c r="G59" s="171"/>
      <c r="H59" s="171"/>
      <c r="I59" s="171"/>
      <c r="J59" s="171"/>
      <c r="K59" s="171"/>
      <c r="L59" s="171"/>
      <c r="M59" s="171"/>
      <c r="N59" s="171"/>
      <c r="O59" s="172"/>
    </row>
    <row r="60" spans="2:15" x14ac:dyDescent="0.2">
      <c r="B60" s="139">
        <v>11301005</v>
      </c>
      <c r="C60" s="271" t="s">
        <v>201</v>
      </c>
      <c r="D60" s="178" t="s">
        <v>504</v>
      </c>
      <c r="E60" s="140">
        <f t="shared" si="0"/>
        <v>0</v>
      </c>
      <c r="F60" s="170"/>
      <c r="G60" s="171"/>
      <c r="H60" s="171"/>
      <c r="I60" s="171"/>
      <c r="J60" s="171"/>
      <c r="K60" s="171"/>
      <c r="L60" s="171"/>
      <c r="M60" s="171"/>
      <c r="N60" s="171"/>
      <c r="O60" s="172"/>
    </row>
    <row r="61" spans="2:15" x14ac:dyDescent="0.2">
      <c r="B61" s="139">
        <v>11301006</v>
      </c>
      <c r="C61" s="271" t="s">
        <v>202</v>
      </c>
      <c r="D61" s="178" t="s">
        <v>504</v>
      </c>
      <c r="E61" s="140">
        <f t="shared" si="0"/>
        <v>0</v>
      </c>
      <c r="F61" s="170"/>
      <c r="G61" s="171"/>
      <c r="H61" s="171"/>
      <c r="I61" s="171"/>
      <c r="J61" s="171"/>
      <c r="K61" s="171"/>
      <c r="L61" s="171"/>
      <c r="M61" s="171"/>
      <c r="N61" s="171"/>
      <c r="O61" s="172"/>
    </row>
    <row r="62" spans="2:15" x14ac:dyDescent="0.2">
      <c r="B62" s="139">
        <v>11301007</v>
      </c>
      <c r="C62" s="271" t="s">
        <v>203</v>
      </c>
      <c r="D62" s="178" t="s">
        <v>505</v>
      </c>
      <c r="E62" s="140">
        <f t="shared" si="0"/>
        <v>0</v>
      </c>
      <c r="F62" s="170"/>
      <c r="G62" s="171"/>
      <c r="H62" s="171"/>
      <c r="I62" s="171"/>
      <c r="J62" s="171"/>
      <c r="K62" s="171"/>
      <c r="L62" s="171"/>
      <c r="M62" s="171"/>
      <c r="N62" s="171"/>
      <c r="O62" s="172"/>
    </row>
    <row r="63" spans="2:15" x14ac:dyDescent="0.2">
      <c r="B63" s="139">
        <v>11301008</v>
      </c>
      <c r="C63" s="271" t="s">
        <v>204</v>
      </c>
      <c r="D63" s="178" t="s">
        <v>504</v>
      </c>
      <c r="E63" s="140">
        <f t="shared" si="0"/>
        <v>0</v>
      </c>
      <c r="F63" s="170"/>
      <c r="G63" s="171"/>
      <c r="H63" s="171"/>
      <c r="I63" s="171"/>
      <c r="J63" s="171"/>
      <c r="K63" s="171"/>
      <c r="L63" s="171"/>
      <c r="M63" s="171"/>
      <c r="N63" s="171"/>
      <c r="O63" s="172"/>
    </row>
    <row r="64" spans="2:15" x14ac:dyDescent="0.2">
      <c r="B64" s="139">
        <v>11301009</v>
      </c>
      <c r="C64" s="271" t="s">
        <v>205</v>
      </c>
      <c r="D64" s="178" t="s">
        <v>505</v>
      </c>
      <c r="E64" s="140">
        <f t="shared" si="0"/>
        <v>0</v>
      </c>
      <c r="F64" s="170"/>
      <c r="G64" s="171"/>
      <c r="H64" s="171"/>
      <c r="I64" s="171"/>
      <c r="J64" s="171"/>
      <c r="K64" s="171"/>
      <c r="L64" s="171"/>
      <c r="M64" s="171"/>
      <c r="N64" s="171"/>
      <c r="O64" s="172"/>
    </row>
    <row r="65" spans="2:15" x14ac:dyDescent="0.2">
      <c r="B65" s="139">
        <v>11301010</v>
      </c>
      <c r="C65" s="271" t="s">
        <v>206</v>
      </c>
      <c r="D65" s="178" t="s">
        <v>504</v>
      </c>
      <c r="E65" s="140">
        <f t="shared" si="0"/>
        <v>0</v>
      </c>
      <c r="F65" s="170"/>
      <c r="G65" s="171"/>
      <c r="H65" s="171"/>
      <c r="I65" s="171"/>
      <c r="J65" s="171"/>
      <c r="K65" s="171"/>
      <c r="L65" s="171"/>
      <c r="M65" s="171"/>
      <c r="N65" s="171"/>
      <c r="O65" s="172"/>
    </row>
    <row r="66" spans="2:15" x14ac:dyDescent="0.2">
      <c r="B66" s="139">
        <v>11301011</v>
      </c>
      <c r="C66" s="271" t="s">
        <v>207</v>
      </c>
      <c r="D66" s="178" t="s">
        <v>504</v>
      </c>
      <c r="E66" s="140">
        <f t="shared" si="0"/>
        <v>0</v>
      </c>
      <c r="F66" s="170"/>
      <c r="G66" s="171"/>
      <c r="H66" s="171"/>
      <c r="I66" s="171"/>
      <c r="J66" s="171"/>
      <c r="K66" s="171"/>
      <c r="L66" s="171"/>
      <c r="M66" s="171"/>
      <c r="N66" s="171"/>
      <c r="O66" s="172"/>
    </row>
    <row r="67" spans="2:15" x14ac:dyDescent="0.2">
      <c r="B67" s="139">
        <v>11301101</v>
      </c>
      <c r="C67" s="271" t="s">
        <v>203</v>
      </c>
      <c r="D67" s="178" t="s">
        <v>505</v>
      </c>
      <c r="E67" s="140">
        <f t="shared" si="0"/>
        <v>0</v>
      </c>
      <c r="F67" s="170"/>
      <c r="G67" s="171"/>
      <c r="H67" s="171"/>
      <c r="I67" s="171"/>
      <c r="J67" s="171"/>
      <c r="K67" s="171"/>
      <c r="L67" s="171"/>
      <c r="M67" s="171"/>
      <c r="N67" s="171"/>
      <c r="O67" s="172"/>
    </row>
    <row r="68" spans="2:15" x14ac:dyDescent="0.2">
      <c r="B68" s="139">
        <v>11301102</v>
      </c>
      <c r="C68" s="271" t="s">
        <v>212</v>
      </c>
      <c r="D68" s="178" t="s">
        <v>504</v>
      </c>
      <c r="E68" s="140">
        <f t="shared" si="0"/>
        <v>0</v>
      </c>
      <c r="F68" s="170"/>
      <c r="G68" s="171"/>
      <c r="H68" s="171"/>
      <c r="I68" s="171"/>
      <c r="J68" s="171"/>
      <c r="K68" s="171"/>
      <c r="L68" s="171"/>
      <c r="M68" s="171"/>
      <c r="N68" s="171"/>
      <c r="O68" s="172"/>
    </row>
    <row r="69" spans="2:15" x14ac:dyDescent="0.2">
      <c r="B69" s="139">
        <v>11301103</v>
      </c>
      <c r="C69" s="271" t="s">
        <v>213</v>
      </c>
      <c r="D69" s="178" t="s">
        <v>505</v>
      </c>
      <c r="E69" s="140">
        <f t="shared" ref="E69:E132" si="1">IF(ISERROR(AVERAGE(F69:O69)),0,AVERAGE(F69:O69))</f>
        <v>0</v>
      </c>
      <c r="F69" s="170"/>
      <c r="G69" s="171"/>
      <c r="H69" s="171"/>
      <c r="I69" s="171"/>
      <c r="J69" s="171"/>
      <c r="K69" s="171"/>
      <c r="L69" s="171"/>
      <c r="M69" s="171"/>
      <c r="N69" s="171"/>
      <c r="O69" s="172"/>
    </row>
    <row r="70" spans="2:15" x14ac:dyDescent="0.2">
      <c r="B70" s="139">
        <v>11301201</v>
      </c>
      <c r="C70" s="271" t="s">
        <v>149</v>
      </c>
      <c r="D70" s="178" t="s">
        <v>503</v>
      </c>
      <c r="E70" s="140">
        <f t="shared" si="1"/>
        <v>0</v>
      </c>
      <c r="F70" s="170"/>
      <c r="G70" s="171"/>
      <c r="H70" s="171"/>
      <c r="I70" s="171"/>
      <c r="J70" s="171"/>
      <c r="K70" s="171"/>
      <c r="L70" s="171"/>
      <c r="M70" s="171"/>
      <c r="N70" s="171"/>
      <c r="O70" s="172"/>
    </row>
    <row r="71" spans="2:15" x14ac:dyDescent="0.2">
      <c r="B71" s="139">
        <v>11301202</v>
      </c>
      <c r="C71" s="271" t="s">
        <v>215</v>
      </c>
      <c r="D71" s="178" t="s">
        <v>505</v>
      </c>
      <c r="E71" s="140">
        <f t="shared" si="1"/>
        <v>0</v>
      </c>
      <c r="F71" s="170"/>
      <c r="G71" s="171"/>
      <c r="H71" s="171"/>
      <c r="I71" s="171"/>
      <c r="J71" s="171"/>
      <c r="K71" s="171"/>
      <c r="L71" s="171"/>
      <c r="M71" s="171"/>
      <c r="N71" s="171"/>
      <c r="O71" s="172"/>
    </row>
    <row r="72" spans="2:15" x14ac:dyDescent="0.2">
      <c r="B72" s="139">
        <v>11301203</v>
      </c>
      <c r="C72" s="271" t="s">
        <v>216</v>
      </c>
      <c r="D72" s="178" t="s">
        <v>505</v>
      </c>
      <c r="E72" s="140">
        <f t="shared" si="1"/>
        <v>0</v>
      </c>
      <c r="F72" s="170"/>
      <c r="G72" s="171"/>
      <c r="H72" s="171"/>
      <c r="I72" s="171"/>
      <c r="J72" s="171"/>
      <c r="K72" s="171"/>
      <c r="L72" s="171"/>
      <c r="M72" s="171"/>
      <c r="N72" s="171"/>
      <c r="O72" s="172"/>
    </row>
    <row r="73" spans="2:15" x14ac:dyDescent="0.2">
      <c r="B73" s="139">
        <v>11301204</v>
      </c>
      <c r="C73" s="271" t="s">
        <v>96</v>
      </c>
      <c r="D73" s="178" t="s">
        <v>504</v>
      </c>
      <c r="E73" s="140">
        <f t="shared" si="1"/>
        <v>0</v>
      </c>
      <c r="F73" s="170"/>
      <c r="G73" s="171"/>
      <c r="H73" s="171"/>
      <c r="I73" s="171"/>
      <c r="J73" s="171"/>
      <c r="K73" s="171"/>
      <c r="L73" s="171"/>
      <c r="M73" s="171"/>
      <c r="N73" s="171"/>
      <c r="O73" s="172"/>
    </row>
    <row r="74" spans="2:15" x14ac:dyDescent="0.2">
      <c r="B74" s="139">
        <v>11301205</v>
      </c>
      <c r="C74" s="271" t="s">
        <v>217</v>
      </c>
      <c r="D74" s="178" t="s">
        <v>504</v>
      </c>
      <c r="E74" s="140">
        <f t="shared" si="1"/>
        <v>0</v>
      </c>
      <c r="F74" s="170"/>
      <c r="G74" s="171"/>
      <c r="H74" s="171"/>
      <c r="I74" s="171"/>
      <c r="J74" s="171"/>
      <c r="K74" s="171"/>
      <c r="L74" s="171"/>
      <c r="M74" s="171"/>
      <c r="N74" s="171"/>
      <c r="O74" s="172"/>
    </row>
    <row r="75" spans="2:15" x14ac:dyDescent="0.2">
      <c r="B75" s="139">
        <v>11301206</v>
      </c>
      <c r="C75" s="271" t="s">
        <v>218</v>
      </c>
      <c r="D75" s="178" t="s">
        <v>504</v>
      </c>
      <c r="E75" s="140">
        <f t="shared" si="1"/>
        <v>0</v>
      </c>
      <c r="F75" s="170"/>
      <c r="G75" s="171"/>
      <c r="H75" s="171"/>
      <c r="I75" s="171"/>
      <c r="J75" s="171"/>
      <c r="K75" s="171"/>
      <c r="L75" s="171"/>
      <c r="M75" s="171"/>
      <c r="N75" s="171"/>
      <c r="O75" s="172"/>
    </row>
    <row r="76" spans="2:15" x14ac:dyDescent="0.2">
      <c r="B76" s="139">
        <v>11301207</v>
      </c>
      <c r="C76" s="271" t="s">
        <v>203</v>
      </c>
      <c r="D76" s="178" t="s">
        <v>505</v>
      </c>
      <c r="E76" s="140">
        <f t="shared" si="1"/>
        <v>0</v>
      </c>
      <c r="F76" s="170"/>
      <c r="G76" s="171"/>
      <c r="H76" s="171"/>
      <c r="I76" s="171"/>
      <c r="J76" s="171"/>
      <c r="K76" s="171"/>
      <c r="L76" s="171"/>
      <c r="M76" s="171"/>
      <c r="N76" s="171"/>
      <c r="O76" s="172"/>
    </row>
    <row r="77" spans="2:15" x14ac:dyDescent="0.2">
      <c r="B77" s="139">
        <v>11301208</v>
      </c>
      <c r="C77" s="271" t="s">
        <v>219</v>
      </c>
      <c r="D77" s="178" t="s">
        <v>504</v>
      </c>
      <c r="E77" s="140">
        <f t="shared" si="1"/>
        <v>0</v>
      </c>
      <c r="F77" s="170"/>
      <c r="G77" s="171"/>
      <c r="H77" s="171"/>
      <c r="I77" s="171"/>
      <c r="J77" s="171"/>
      <c r="K77" s="171"/>
      <c r="L77" s="171"/>
      <c r="M77" s="171"/>
      <c r="N77" s="171"/>
      <c r="O77" s="172"/>
    </row>
    <row r="78" spans="2:15" x14ac:dyDescent="0.2">
      <c r="B78" s="139">
        <v>11301209</v>
      </c>
      <c r="C78" s="271" t="s">
        <v>220</v>
      </c>
      <c r="D78" s="178" t="s">
        <v>507</v>
      </c>
      <c r="E78" s="140">
        <f t="shared" si="1"/>
        <v>0</v>
      </c>
      <c r="F78" s="170"/>
      <c r="G78" s="171"/>
      <c r="H78" s="171"/>
      <c r="I78" s="171"/>
      <c r="J78" s="171"/>
      <c r="K78" s="171"/>
      <c r="L78" s="171"/>
      <c r="M78" s="171"/>
      <c r="N78" s="171"/>
      <c r="O78" s="172"/>
    </row>
    <row r="79" spans="2:15" x14ac:dyDescent="0.2">
      <c r="B79" s="139">
        <v>11301210</v>
      </c>
      <c r="C79" s="271" t="s">
        <v>221</v>
      </c>
      <c r="D79" s="178" t="s">
        <v>504</v>
      </c>
      <c r="E79" s="140">
        <f t="shared" si="1"/>
        <v>0</v>
      </c>
      <c r="F79" s="170"/>
      <c r="G79" s="171"/>
      <c r="H79" s="171"/>
      <c r="I79" s="171"/>
      <c r="J79" s="171"/>
      <c r="K79" s="171"/>
      <c r="L79" s="171"/>
      <c r="M79" s="171"/>
      <c r="N79" s="171"/>
      <c r="O79" s="172"/>
    </row>
    <row r="80" spans="2:15" x14ac:dyDescent="0.2">
      <c r="B80" s="139">
        <v>11301211</v>
      </c>
      <c r="C80" s="271" t="s">
        <v>222</v>
      </c>
      <c r="D80" s="178" t="s">
        <v>504</v>
      </c>
      <c r="E80" s="140">
        <f t="shared" si="1"/>
        <v>0</v>
      </c>
      <c r="F80" s="170"/>
      <c r="G80" s="171"/>
      <c r="H80" s="171"/>
      <c r="I80" s="171"/>
      <c r="J80" s="171"/>
      <c r="K80" s="171"/>
      <c r="L80" s="171"/>
      <c r="M80" s="171"/>
      <c r="N80" s="171"/>
      <c r="O80" s="172"/>
    </row>
    <row r="81" spans="2:15" x14ac:dyDescent="0.2">
      <c r="B81" s="139">
        <v>11301212</v>
      </c>
      <c r="C81" s="271" t="s">
        <v>223</v>
      </c>
      <c r="D81" s="178" t="s">
        <v>503</v>
      </c>
      <c r="E81" s="140">
        <f t="shared" si="1"/>
        <v>0</v>
      </c>
      <c r="F81" s="170"/>
      <c r="G81" s="171"/>
      <c r="H81" s="171"/>
      <c r="I81" s="171"/>
      <c r="J81" s="171"/>
      <c r="K81" s="171"/>
      <c r="L81" s="171"/>
      <c r="M81" s="171"/>
      <c r="N81" s="171"/>
      <c r="O81" s="172"/>
    </row>
    <row r="82" spans="2:15" x14ac:dyDescent="0.2">
      <c r="B82" s="139">
        <v>11400101</v>
      </c>
      <c r="C82" s="271" t="s">
        <v>234</v>
      </c>
      <c r="D82" s="178" t="s">
        <v>503</v>
      </c>
      <c r="E82" s="140">
        <f t="shared" si="1"/>
        <v>0</v>
      </c>
      <c r="F82" s="170"/>
      <c r="G82" s="171"/>
      <c r="H82" s="171"/>
      <c r="I82" s="171"/>
      <c r="J82" s="171"/>
      <c r="K82" s="171"/>
      <c r="L82" s="171"/>
      <c r="M82" s="171"/>
      <c r="N82" s="171"/>
      <c r="O82" s="172"/>
    </row>
    <row r="83" spans="2:15" x14ac:dyDescent="0.2">
      <c r="B83" s="139">
        <v>11400102</v>
      </c>
      <c r="C83" s="271" t="s">
        <v>203</v>
      </c>
      <c r="D83" s="178" t="s">
        <v>505</v>
      </c>
      <c r="E83" s="140">
        <f t="shared" si="1"/>
        <v>0</v>
      </c>
      <c r="F83" s="170"/>
      <c r="G83" s="171"/>
      <c r="H83" s="171"/>
      <c r="I83" s="171"/>
      <c r="J83" s="171"/>
      <c r="K83" s="171"/>
      <c r="L83" s="171"/>
      <c r="M83" s="171"/>
      <c r="N83" s="171"/>
      <c r="O83" s="172"/>
    </row>
    <row r="84" spans="2:15" x14ac:dyDescent="0.2">
      <c r="B84" s="139">
        <v>11400103</v>
      </c>
      <c r="C84" s="271" t="s">
        <v>98</v>
      </c>
      <c r="D84" s="178" t="s">
        <v>505</v>
      </c>
      <c r="E84" s="140">
        <f t="shared" si="1"/>
        <v>0</v>
      </c>
      <c r="F84" s="170"/>
      <c r="G84" s="171"/>
      <c r="H84" s="171"/>
      <c r="I84" s="171"/>
      <c r="J84" s="171"/>
      <c r="K84" s="171"/>
      <c r="L84" s="171"/>
      <c r="M84" s="171"/>
      <c r="N84" s="171"/>
      <c r="O84" s="172"/>
    </row>
    <row r="85" spans="2:15" x14ac:dyDescent="0.2">
      <c r="B85" s="139">
        <v>11400201</v>
      </c>
      <c r="C85" s="271" t="s">
        <v>236</v>
      </c>
      <c r="D85" s="178" t="s">
        <v>507</v>
      </c>
      <c r="E85" s="140">
        <f t="shared" si="1"/>
        <v>0</v>
      </c>
      <c r="F85" s="170"/>
      <c r="G85" s="171"/>
      <c r="H85" s="171"/>
      <c r="I85" s="171"/>
      <c r="J85" s="171"/>
      <c r="K85" s="171"/>
      <c r="L85" s="171"/>
      <c r="M85" s="171"/>
      <c r="N85" s="171"/>
      <c r="O85" s="172"/>
    </row>
    <row r="86" spans="2:15" x14ac:dyDescent="0.2">
      <c r="B86" s="139">
        <v>11400202</v>
      </c>
      <c r="C86" s="271" t="s">
        <v>203</v>
      </c>
      <c r="D86" s="178" t="s">
        <v>505</v>
      </c>
      <c r="E86" s="140">
        <f t="shared" si="1"/>
        <v>0</v>
      </c>
      <c r="F86" s="170"/>
      <c r="G86" s="171"/>
      <c r="H86" s="171"/>
      <c r="I86" s="171"/>
      <c r="J86" s="171"/>
      <c r="K86" s="171"/>
      <c r="L86" s="171"/>
      <c r="M86" s="171"/>
      <c r="N86" s="171"/>
      <c r="O86" s="172"/>
    </row>
    <row r="87" spans="2:15" x14ac:dyDescent="0.2">
      <c r="B87" s="139">
        <v>11400203</v>
      </c>
      <c r="C87" s="271" t="s">
        <v>237</v>
      </c>
      <c r="D87" s="178" t="s">
        <v>503</v>
      </c>
      <c r="E87" s="140">
        <f t="shared" si="1"/>
        <v>0</v>
      </c>
      <c r="F87" s="170"/>
      <c r="G87" s="171"/>
      <c r="H87" s="171"/>
      <c r="I87" s="171"/>
      <c r="J87" s="171"/>
      <c r="K87" s="171"/>
      <c r="L87" s="171"/>
      <c r="M87" s="171"/>
      <c r="N87" s="171"/>
      <c r="O87" s="172"/>
    </row>
    <row r="88" spans="2:15" x14ac:dyDescent="0.2">
      <c r="B88" s="139">
        <v>11400204</v>
      </c>
      <c r="C88" s="271" t="s">
        <v>238</v>
      </c>
      <c r="D88" s="178" t="s">
        <v>503</v>
      </c>
      <c r="E88" s="140">
        <f t="shared" si="1"/>
        <v>0</v>
      </c>
      <c r="F88" s="170"/>
      <c r="G88" s="171"/>
      <c r="H88" s="171"/>
      <c r="I88" s="171"/>
      <c r="J88" s="171"/>
      <c r="K88" s="171"/>
      <c r="L88" s="171"/>
      <c r="M88" s="171"/>
      <c r="N88" s="171"/>
      <c r="O88" s="172"/>
    </row>
    <row r="89" spans="2:15" x14ac:dyDescent="0.2">
      <c r="B89" s="139">
        <v>11400301</v>
      </c>
      <c r="C89" s="271" t="s">
        <v>246</v>
      </c>
      <c r="D89" s="178" t="s">
        <v>504</v>
      </c>
      <c r="E89" s="140">
        <f t="shared" si="1"/>
        <v>0</v>
      </c>
      <c r="F89" s="170"/>
      <c r="G89" s="171"/>
      <c r="H89" s="171"/>
      <c r="I89" s="171"/>
      <c r="J89" s="171"/>
      <c r="K89" s="171"/>
      <c r="L89" s="171"/>
      <c r="M89" s="171"/>
      <c r="N89" s="171"/>
      <c r="O89" s="172"/>
    </row>
    <row r="90" spans="2:15" x14ac:dyDescent="0.2">
      <c r="B90" s="139">
        <v>11400302</v>
      </c>
      <c r="C90" s="271" t="s">
        <v>247</v>
      </c>
      <c r="D90" s="178" t="s">
        <v>503</v>
      </c>
      <c r="E90" s="140">
        <f t="shared" si="1"/>
        <v>0</v>
      </c>
      <c r="F90" s="170"/>
      <c r="G90" s="171"/>
      <c r="H90" s="171"/>
      <c r="I90" s="171"/>
      <c r="J90" s="171"/>
      <c r="K90" s="171"/>
      <c r="L90" s="171"/>
      <c r="M90" s="171"/>
      <c r="N90" s="171"/>
      <c r="O90" s="172"/>
    </row>
    <row r="91" spans="2:15" x14ac:dyDescent="0.2">
      <c r="B91" s="139">
        <v>11400303</v>
      </c>
      <c r="C91" s="271" t="s">
        <v>248</v>
      </c>
      <c r="D91" s="178" t="s">
        <v>503</v>
      </c>
      <c r="E91" s="140">
        <f t="shared" si="1"/>
        <v>0</v>
      </c>
      <c r="F91" s="170"/>
      <c r="G91" s="171"/>
      <c r="H91" s="171"/>
      <c r="I91" s="171"/>
      <c r="J91" s="171"/>
      <c r="K91" s="171"/>
      <c r="L91" s="171"/>
      <c r="M91" s="171"/>
      <c r="N91" s="171"/>
      <c r="O91" s="172"/>
    </row>
    <row r="92" spans="2:15" x14ac:dyDescent="0.2">
      <c r="B92" s="139">
        <v>11400304</v>
      </c>
      <c r="C92" s="271" t="s">
        <v>249</v>
      </c>
      <c r="D92" s="178" t="s">
        <v>505</v>
      </c>
      <c r="E92" s="140">
        <f t="shared" si="1"/>
        <v>0</v>
      </c>
      <c r="F92" s="170"/>
      <c r="G92" s="171"/>
      <c r="H92" s="171"/>
      <c r="I92" s="171"/>
      <c r="J92" s="171"/>
      <c r="K92" s="171"/>
      <c r="L92" s="171"/>
      <c r="M92" s="171"/>
      <c r="N92" s="171"/>
      <c r="O92" s="172"/>
    </row>
    <row r="93" spans="2:15" x14ac:dyDescent="0.2">
      <c r="B93" s="139">
        <v>11400305</v>
      </c>
      <c r="C93" s="271" t="s">
        <v>203</v>
      </c>
      <c r="D93" s="178" t="s">
        <v>505</v>
      </c>
      <c r="E93" s="140">
        <f t="shared" si="1"/>
        <v>0</v>
      </c>
      <c r="F93" s="170"/>
      <c r="G93" s="171"/>
      <c r="H93" s="171"/>
      <c r="I93" s="171"/>
      <c r="J93" s="171"/>
      <c r="K93" s="171"/>
      <c r="L93" s="171"/>
      <c r="M93" s="171"/>
      <c r="N93" s="171"/>
      <c r="O93" s="172"/>
    </row>
    <row r="94" spans="2:15" x14ac:dyDescent="0.2">
      <c r="B94" s="139">
        <v>11400306</v>
      </c>
      <c r="C94" s="271" t="s">
        <v>237</v>
      </c>
      <c r="D94" s="178" t="s">
        <v>503</v>
      </c>
      <c r="E94" s="140">
        <f t="shared" si="1"/>
        <v>0</v>
      </c>
      <c r="F94" s="170"/>
      <c r="G94" s="171"/>
      <c r="H94" s="171"/>
      <c r="I94" s="171"/>
      <c r="J94" s="171"/>
      <c r="K94" s="171"/>
      <c r="L94" s="171"/>
      <c r="M94" s="171"/>
      <c r="N94" s="171"/>
      <c r="O94" s="172"/>
    </row>
    <row r="95" spans="2:15" x14ac:dyDescent="0.2">
      <c r="B95" s="139">
        <v>11400307</v>
      </c>
      <c r="C95" s="271" t="s">
        <v>98</v>
      </c>
      <c r="D95" s="178" t="s">
        <v>505</v>
      </c>
      <c r="E95" s="140">
        <f t="shared" si="1"/>
        <v>0</v>
      </c>
      <c r="F95" s="170"/>
      <c r="G95" s="171"/>
      <c r="H95" s="171"/>
      <c r="I95" s="171"/>
      <c r="J95" s="171"/>
      <c r="K95" s="171"/>
      <c r="L95" s="171"/>
      <c r="M95" s="171"/>
      <c r="N95" s="171"/>
      <c r="O95" s="172"/>
    </row>
    <row r="96" spans="2:15" x14ac:dyDescent="0.2">
      <c r="B96" s="139">
        <v>11400308</v>
      </c>
      <c r="C96" s="271" t="s">
        <v>238</v>
      </c>
      <c r="D96" s="178" t="s">
        <v>503</v>
      </c>
      <c r="E96" s="140">
        <f t="shared" si="1"/>
        <v>0</v>
      </c>
      <c r="F96" s="170"/>
      <c r="G96" s="171"/>
      <c r="H96" s="171"/>
      <c r="I96" s="171"/>
      <c r="J96" s="171"/>
      <c r="K96" s="171"/>
      <c r="L96" s="171"/>
      <c r="M96" s="171"/>
      <c r="N96" s="171"/>
      <c r="O96" s="172"/>
    </row>
    <row r="97" spans="2:15" x14ac:dyDescent="0.2">
      <c r="B97" s="139">
        <v>11400309</v>
      </c>
      <c r="C97" s="271" t="s">
        <v>250</v>
      </c>
      <c r="D97" s="178" t="s">
        <v>503</v>
      </c>
      <c r="E97" s="140">
        <f t="shared" si="1"/>
        <v>0</v>
      </c>
      <c r="F97" s="170"/>
      <c r="G97" s="171"/>
      <c r="H97" s="171"/>
      <c r="I97" s="171"/>
      <c r="J97" s="171"/>
      <c r="K97" s="171"/>
      <c r="L97" s="171"/>
      <c r="M97" s="171"/>
      <c r="N97" s="171"/>
      <c r="O97" s="172"/>
    </row>
    <row r="98" spans="2:15" x14ac:dyDescent="0.2">
      <c r="B98" s="139">
        <v>11400310</v>
      </c>
      <c r="C98" s="271" t="s">
        <v>251</v>
      </c>
      <c r="D98" s="178" t="s">
        <v>503</v>
      </c>
      <c r="E98" s="140">
        <f t="shared" si="1"/>
        <v>0</v>
      </c>
      <c r="F98" s="170"/>
      <c r="G98" s="171"/>
      <c r="H98" s="171"/>
      <c r="I98" s="171"/>
      <c r="J98" s="171"/>
      <c r="K98" s="171"/>
      <c r="L98" s="171"/>
      <c r="M98" s="171"/>
      <c r="N98" s="171"/>
      <c r="O98" s="172"/>
    </row>
    <row r="99" spans="2:15" x14ac:dyDescent="0.2">
      <c r="B99" s="139">
        <v>11400401</v>
      </c>
      <c r="C99" s="271" t="s">
        <v>253</v>
      </c>
      <c r="D99" s="178" t="s">
        <v>503</v>
      </c>
      <c r="E99" s="140">
        <f t="shared" si="1"/>
        <v>0</v>
      </c>
      <c r="F99" s="170"/>
      <c r="G99" s="171"/>
      <c r="H99" s="171"/>
      <c r="I99" s="171"/>
      <c r="J99" s="171"/>
      <c r="K99" s="171"/>
      <c r="L99" s="171"/>
      <c r="M99" s="171"/>
      <c r="N99" s="171"/>
      <c r="O99" s="172"/>
    </row>
    <row r="100" spans="2:15" x14ac:dyDescent="0.2">
      <c r="B100" s="139">
        <v>11400402</v>
      </c>
      <c r="C100" s="271" t="s">
        <v>254</v>
      </c>
      <c r="D100" s="178" t="s">
        <v>503</v>
      </c>
      <c r="E100" s="140">
        <f t="shared" si="1"/>
        <v>0</v>
      </c>
      <c r="F100" s="170"/>
      <c r="G100" s="171"/>
      <c r="H100" s="171"/>
      <c r="I100" s="171"/>
      <c r="J100" s="171"/>
      <c r="K100" s="171"/>
      <c r="L100" s="171"/>
      <c r="M100" s="171"/>
      <c r="N100" s="171"/>
      <c r="O100" s="172"/>
    </row>
    <row r="101" spans="2:15" x14ac:dyDescent="0.2">
      <c r="B101" s="139">
        <v>11400403</v>
      </c>
      <c r="C101" s="271" t="s">
        <v>471</v>
      </c>
      <c r="D101" s="178" t="s">
        <v>503</v>
      </c>
      <c r="E101" s="140">
        <f t="shared" si="1"/>
        <v>0</v>
      </c>
      <c r="F101" s="170"/>
      <c r="G101" s="171"/>
      <c r="H101" s="171"/>
      <c r="I101" s="171"/>
      <c r="J101" s="171"/>
      <c r="K101" s="171"/>
      <c r="L101" s="171"/>
      <c r="M101" s="171"/>
      <c r="N101" s="171"/>
      <c r="O101" s="172"/>
    </row>
    <row r="102" spans="2:15" x14ac:dyDescent="0.2">
      <c r="B102" s="139">
        <v>11400404</v>
      </c>
      <c r="C102" s="271" t="s">
        <v>472</v>
      </c>
      <c r="D102" s="178" t="s">
        <v>503</v>
      </c>
      <c r="E102" s="140">
        <f t="shared" si="1"/>
        <v>0</v>
      </c>
      <c r="F102" s="170"/>
      <c r="G102" s="171"/>
      <c r="H102" s="171"/>
      <c r="I102" s="171"/>
      <c r="J102" s="171"/>
      <c r="K102" s="171"/>
      <c r="L102" s="171"/>
      <c r="M102" s="171"/>
      <c r="N102" s="171"/>
      <c r="O102" s="172"/>
    </row>
    <row r="103" spans="2:15" x14ac:dyDescent="0.2">
      <c r="B103" s="139">
        <v>11400405</v>
      </c>
      <c r="C103" s="271" t="s">
        <v>203</v>
      </c>
      <c r="D103" s="178" t="s">
        <v>505</v>
      </c>
      <c r="E103" s="140">
        <f t="shared" si="1"/>
        <v>0</v>
      </c>
      <c r="F103" s="170"/>
      <c r="G103" s="171"/>
      <c r="H103" s="171"/>
      <c r="I103" s="171"/>
      <c r="J103" s="171"/>
      <c r="K103" s="171"/>
      <c r="L103" s="171"/>
      <c r="M103" s="171"/>
      <c r="N103" s="171"/>
      <c r="O103" s="172"/>
    </row>
    <row r="104" spans="2:15" x14ac:dyDescent="0.2">
      <c r="B104" s="139">
        <v>11400406</v>
      </c>
      <c r="C104" s="271" t="s">
        <v>237</v>
      </c>
      <c r="D104" s="178" t="s">
        <v>503</v>
      </c>
      <c r="E104" s="140">
        <f t="shared" si="1"/>
        <v>0</v>
      </c>
      <c r="F104" s="170"/>
      <c r="G104" s="171"/>
      <c r="H104" s="171"/>
      <c r="I104" s="171"/>
      <c r="J104" s="171"/>
      <c r="K104" s="171"/>
      <c r="L104" s="171"/>
      <c r="M104" s="171"/>
      <c r="N104" s="171"/>
      <c r="O104" s="172"/>
    </row>
    <row r="105" spans="2:15" x14ac:dyDescent="0.2">
      <c r="B105" s="139">
        <v>11400407</v>
      </c>
      <c r="C105" s="271" t="s">
        <v>473</v>
      </c>
      <c r="D105" s="178" t="s">
        <v>503</v>
      </c>
      <c r="E105" s="140">
        <f t="shared" si="1"/>
        <v>0</v>
      </c>
      <c r="F105" s="170"/>
      <c r="G105" s="171"/>
      <c r="H105" s="171"/>
      <c r="I105" s="171"/>
      <c r="J105" s="171"/>
      <c r="K105" s="171"/>
      <c r="L105" s="171"/>
      <c r="M105" s="171"/>
      <c r="N105" s="171"/>
      <c r="O105" s="172"/>
    </row>
    <row r="106" spans="2:15" x14ac:dyDescent="0.2">
      <c r="B106" s="139">
        <v>11400408</v>
      </c>
      <c r="C106" s="271" t="s">
        <v>255</v>
      </c>
      <c r="D106" s="178" t="s">
        <v>504</v>
      </c>
      <c r="E106" s="140">
        <f t="shared" si="1"/>
        <v>0</v>
      </c>
      <c r="F106" s="170"/>
      <c r="G106" s="171"/>
      <c r="H106" s="171"/>
      <c r="I106" s="171"/>
      <c r="J106" s="171"/>
      <c r="K106" s="171"/>
      <c r="L106" s="171"/>
      <c r="M106" s="171"/>
      <c r="N106" s="171"/>
      <c r="O106" s="172"/>
    </row>
    <row r="107" spans="2:15" x14ac:dyDescent="0.2">
      <c r="B107" s="139">
        <v>11400501</v>
      </c>
      <c r="C107" s="271" t="s">
        <v>96</v>
      </c>
      <c r="D107" s="178" t="s">
        <v>504</v>
      </c>
      <c r="E107" s="140">
        <f t="shared" si="1"/>
        <v>0</v>
      </c>
      <c r="F107" s="170"/>
      <c r="G107" s="171"/>
      <c r="H107" s="171"/>
      <c r="I107" s="171"/>
      <c r="J107" s="171"/>
      <c r="K107" s="171"/>
      <c r="L107" s="171"/>
      <c r="M107" s="171"/>
      <c r="N107" s="171"/>
      <c r="O107" s="172"/>
    </row>
    <row r="108" spans="2:15" x14ac:dyDescent="0.2">
      <c r="B108" s="139">
        <v>11400502</v>
      </c>
      <c r="C108" s="271" t="s">
        <v>262</v>
      </c>
      <c r="D108" s="178" t="s">
        <v>505</v>
      </c>
      <c r="E108" s="140">
        <f t="shared" si="1"/>
        <v>0</v>
      </c>
      <c r="F108" s="170"/>
      <c r="G108" s="171"/>
      <c r="H108" s="171"/>
      <c r="I108" s="171"/>
      <c r="J108" s="171"/>
      <c r="K108" s="171"/>
      <c r="L108" s="171"/>
      <c r="M108" s="171"/>
      <c r="N108" s="171"/>
      <c r="O108" s="172"/>
    </row>
    <row r="109" spans="2:15" x14ac:dyDescent="0.2">
      <c r="B109" s="139">
        <v>11400503</v>
      </c>
      <c r="C109" s="271" t="s">
        <v>203</v>
      </c>
      <c r="D109" s="178" t="s">
        <v>505</v>
      </c>
      <c r="E109" s="140">
        <f t="shared" si="1"/>
        <v>0</v>
      </c>
      <c r="F109" s="170"/>
      <c r="G109" s="171"/>
      <c r="H109" s="171"/>
      <c r="I109" s="171"/>
      <c r="J109" s="171"/>
      <c r="K109" s="171"/>
      <c r="L109" s="171"/>
      <c r="M109" s="171"/>
      <c r="N109" s="171"/>
      <c r="O109" s="172"/>
    </row>
    <row r="110" spans="2:15" x14ac:dyDescent="0.2">
      <c r="B110" s="139">
        <v>11400504</v>
      </c>
      <c r="C110" s="271" t="s">
        <v>237</v>
      </c>
      <c r="D110" s="178" t="s">
        <v>503</v>
      </c>
      <c r="E110" s="140">
        <f t="shared" si="1"/>
        <v>0</v>
      </c>
      <c r="F110" s="170"/>
      <c r="G110" s="171"/>
      <c r="H110" s="171"/>
      <c r="I110" s="171"/>
      <c r="J110" s="171"/>
      <c r="K110" s="171"/>
      <c r="L110" s="171"/>
      <c r="M110" s="171"/>
      <c r="N110" s="171"/>
      <c r="O110" s="172"/>
    </row>
    <row r="111" spans="2:15" x14ac:dyDescent="0.2">
      <c r="B111" s="139">
        <v>11400505</v>
      </c>
      <c r="C111" s="271" t="s">
        <v>98</v>
      </c>
      <c r="D111" s="178" t="s">
        <v>505</v>
      </c>
      <c r="E111" s="140">
        <f t="shared" si="1"/>
        <v>0</v>
      </c>
      <c r="F111" s="170"/>
      <c r="G111" s="171"/>
      <c r="H111" s="171"/>
      <c r="I111" s="171"/>
      <c r="J111" s="171"/>
      <c r="K111" s="171"/>
      <c r="L111" s="171"/>
      <c r="M111" s="171"/>
      <c r="N111" s="171"/>
      <c r="O111" s="172"/>
    </row>
    <row r="112" spans="2:15" x14ac:dyDescent="0.2">
      <c r="B112" s="139">
        <v>11400601</v>
      </c>
      <c r="C112" s="271" t="s">
        <v>96</v>
      </c>
      <c r="D112" s="178" t="s">
        <v>504</v>
      </c>
      <c r="E112" s="140">
        <f t="shared" si="1"/>
        <v>0</v>
      </c>
      <c r="F112" s="170"/>
      <c r="G112" s="171"/>
      <c r="H112" s="171"/>
      <c r="I112" s="171"/>
      <c r="J112" s="171"/>
      <c r="K112" s="171"/>
      <c r="L112" s="171"/>
      <c r="M112" s="171"/>
      <c r="N112" s="171"/>
      <c r="O112" s="172"/>
    </row>
    <row r="113" spans="2:15" x14ac:dyDescent="0.2">
      <c r="B113" s="139">
        <v>11400602</v>
      </c>
      <c r="C113" s="271" t="s">
        <v>203</v>
      </c>
      <c r="D113" s="178" t="s">
        <v>505</v>
      </c>
      <c r="E113" s="140">
        <f t="shared" si="1"/>
        <v>0</v>
      </c>
      <c r="F113" s="170"/>
      <c r="G113" s="171"/>
      <c r="H113" s="171"/>
      <c r="I113" s="171"/>
      <c r="J113" s="171"/>
      <c r="K113" s="171"/>
      <c r="L113" s="171"/>
      <c r="M113" s="171"/>
      <c r="N113" s="171"/>
      <c r="O113" s="172"/>
    </row>
    <row r="114" spans="2:15" x14ac:dyDescent="0.2">
      <c r="B114" s="139">
        <v>11400603</v>
      </c>
      <c r="C114" s="271" t="s">
        <v>98</v>
      </c>
      <c r="D114" s="178" t="s">
        <v>505</v>
      </c>
      <c r="E114" s="140">
        <f t="shared" si="1"/>
        <v>0</v>
      </c>
      <c r="F114" s="170"/>
      <c r="G114" s="171"/>
      <c r="H114" s="171"/>
      <c r="I114" s="171"/>
      <c r="J114" s="171"/>
      <c r="K114" s="171"/>
      <c r="L114" s="171"/>
      <c r="M114" s="171"/>
      <c r="N114" s="171"/>
      <c r="O114" s="172"/>
    </row>
    <row r="115" spans="2:15" x14ac:dyDescent="0.2">
      <c r="B115" s="139">
        <v>11400604</v>
      </c>
      <c r="C115" s="271" t="s">
        <v>237</v>
      </c>
      <c r="D115" s="178" t="s">
        <v>503</v>
      </c>
      <c r="E115" s="140">
        <f t="shared" si="1"/>
        <v>0</v>
      </c>
      <c r="F115" s="170"/>
      <c r="G115" s="171"/>
      <c r="H115" s="171"/>
      <c r="I115" s="171"/>
      <c r="J115" s="171"/>
      <c r="K115" s="171"/>
      <c r="L115" s="171"/>
      <c r="M115" s="171"/>
      <c r="N115" s="171"/>
      <c r="O115" s="172"/>
    </row>
    <row r="116" spans="2:15" x14ac:dyDescent="0.2">
      <c r="B116" s="139">
        <v>11400605</v>
      </c>
      <c r="C116" s="271" t="s">
        <v>266</v>
      </c>
      <c r="D116" s="178" t="s">
        <v>503</v>
      </c>
      <c r="E116" s="140">
        <f t="shared" si="1"/>
        <v>0</v>
      </c>
      <c r="F116" s="170"/>
      <c r="G116" s="171"/>
      <c r="H116" s="171"/>
      <c r="I116" s="171"/>
      <c r="J116" s="171"/>
      <c r="K116" s="171"/>
      <c r="L116" s="171"/>
      <c r="M116" s="171"/>
      <c r="N116" s="171"/>
      <c r="O116" s="172"/>
    </row>
    <row r="117" spans="2:15" x14ac:dyDescent="0.2">
      <c r="B117" s="139">
        <v>11400606</v>
      </c>
      <c r="C117" s="271" t="s">
        <v>267</v>
      </c>
      <c r="D117" s="178" t="s">
        <v>503</v>
      </c>
      <c r="E117" s="140">
        <f t="shared" si="1"/>
        <v>0</v>
      </c>
      <c r="F117" s="170"/>
      <c r="G117" s="171"/>
      <c r="H117" s="171"/>
      <c r="I117" s="171"/>
      <c r="J117" s="171"/>
      <c r="K117" s="171"/>
      <c r="L117" s="171"/>
      <c r="M117" s="171"/>
      <c r="N117" s="171"/>
      <c r="O117" s="172"/>
    </row>
    <row r="118" spans="2:15" x14ac:dyDescent="0.2">
      <c r="B118" s="139">
        <v>11400701</v>
      </c>
      <c r="C118" s="271" t="s">
        <v>270</v>
      </c>
      <c r="D118" s="178" t="s">
        <v>503</v>
      </c>
      <c r="E118" s="140">
        <f t="shared" si="1"/>
        <v>0</v>
      </c>
      <c r="F118" s="170"/>
      <c r="G118" s="171"/>
      <c r="H118" s="171"/>
      <c r="I118" s="171"/>
      <c r="J118" s="171"/>
      <c r="K118" s="171"/>
      <c r="L118" s="171"/>
      <c r="M118" s="171"/>
      <c r="N118" s="171"/>
      <c r="O118" s="172"/>
    </row>
    <row r="119" spans="2:15" x14ac:dyDescent="0.2">
      <c r="B119" s="139">
        <v>11400702</v>
      </c>
      <c r="C119" s="271" t="s">
        <v>271</v>
      </c>
      <c r="D119" s="178" t="s">
        <v>503</v>
      </c>
      <c r="E119" s="140">
        <f t="shared" si="1"/>
        <v>0</v>
      </c>
      <c r="F119" s="170"/>
      <c r="G119" s="171"/>
      <c r="H119" s="171"/>
      <c r="I119" s="171"/>
      <c r="J119" s="171"/>
      <c r="K119" s="171"/>
      <c r="L119" s="171"/>
      <c r="M119" s="171"/>
      <c r="N119" s="171"/>
      <c r="O119" s="172"/>
    </row>
    <row r="120" spans="2:15" x14ac:dyDescent="0.2">
      <c r="B120" s="139">
        <v>11400703</v>
      </c>
      <c r="C120" s="271" t="s">
        <v>272</v>
      </c>
      <c r="D120" s="178" t="s">
        <v>503</v>
      </c>
      <c r="E120" s="140">
        <f t="shared" si="1"/>
        <v>0</v>
      </c>
      <c r="F120" s="170"/>
      <c r="G120" s="171"/>
      <c r="H120" s="171"/>
      <c r="I120" s="171"/>
      <c r="J120" s="171"/>
      <c r="K120" s="171"/>
      <c r="L120" s="171"/>
      <c r="M120" s="171"/>
      <c r="N120" s="171"/>
      <c r="O120" s="172"/>
    </row>
    <row r="121" spans="2:15" x14ac:dyDescent="0.2">
      <c r="B121" s="139">
        <v>11400704</v>
      </c>
      <c r="C121" s="271" t="s">
        <v>273</v>
      </c>
      <c r="D121" s="178" t="s">
        <v>503</v>
      </c>
      <c r="E121" s="140">
        <f t="shared" si="1"/>
        <v>0</v>
      </c>
      <c r="F121" s="170"/>
      <c r="G121" s="171"/>
      <c r="H121" s="171"/>
      <c r="I121" s="171"/>
      <c r="J121" s="171"/>
      <c r="K121" s="171"/>
      <c r="L121" s="171"/>
      <c r="M121" s="171"/>
      <c r="N121" s="171"/>
      <c r="O121" s="172"/>
    </row>
    <row r="122" spans="2:15" x14ac:dyDescent="0.2">
      <c r="B122" s="139">
        <v>11400705</v>
      </c>
      <c r="C122" s="271" t="s">
        <v>96</v>
      </c>
      <c r="D122" s="178" t="s">
        <v>504</v>
      </c>
      <c r="E122" s="140">
        <f t="shared" si="1"/>
        <v>0</v>
      </c>
      <c r="F122" s="170"/>
      <c r="G122" s="171"/>
      <c r="H122" s="171"/>
      <c r="I122" s="171"/>
      <c r="J122" s="171"/>
      <c r="K122" s="171"/>
      <c r="L122" s="171"/>
      <c r="M122" s="171"/>
      <c r="N122" s="171"/>
      <c r="O122" s="172"/>
    </row>
    <row r="123" spans="2:15" x14ac:dyDescent="0.2">
      <c r="B123" s="139">
        <v>11400706</v>
      </c>
      <c r="C123" s="271" t="s">
        <v>274</v>
      </c>
      <c r="D123" s="178" t="s">
        <v>503</v>
      </c>
      <c r="E123" s="140">
        <f t="shared" si="1"/>
        <v>0</v>
      </c>
      <c r="F123" s="170"/>
      <c r="G123" s="171"/>
      <c r="H123" s="171"/>
      <c r="I123" s="171"/>
      <c r="J123" s="171"/>
      <c r="K123" s="171"/>
      <c r="L123" s="171"/>
      <c r="M123" s="171"/>
      <c r="N123" s="171"/>
      <c r="O123" s="172"/>
    </row>
    <row r="124" spans="2:15" x14ac:dyDescent="0.2">
      <c r="B124" s="139">
        <v>11400707</v>
      </c>
      <c r="C124" s="271" t="s">
        <v>275</v>
      </c>
      <c r="D124" s="178" t="s">
        <v>503</v>
      </c>
      <c r="E124" s="140">
        <f t="shared" si="1"/>
        <v>0</v>
      </c>
      <c r="F124" s="170"/>
      <c r="G124" s="171"/>
      <c r="H124" s="171"/>
      <c r="I124" s="171"/>
      <c r="J124" s="171"/>
      <c r="K124" s="171"/>
      <c r="L124" s="171"/>
      <c r="M124" s="171"/>
      <c r="N124" s="171"/>
      <c r="O124" s="172"/>
    </row>
    <row r="125" spans="2:15" x14ac:dyDescent="0.2">
      <c r="B125" s="139">
        <v>11400708</v>
      </c>
      <c r="C125" s="271" t="s">
        <v>276</v>
      </c>
      <c r="D125" s="178" t="s">
        <v>503</v>
      </c>
      <c r="E125" s="140">
        <f t="shared" si="1"/>
        <v>0</v>
      </c>
      <c r="F125" s="170"/>
      <c r="G125" s="171"/>
      <c r="H125" s="171"/>
      <c r="I125" s="171"/>
      <c r="J125" s="171"/>
      <c r="K125" s="171"/>
      <c r="L125" s="171"/>
      <c r="M125" s="171"/>
      <c r="N125" s="171"/>
      <c r="O125" s="172"/>
    </row>
    <row r="126" spans="2:15" x14ac:dyDescent="0.2">
      <c r="B126" s="139">
        <v>11400709</v>
      </c>
      <c r="C126" s="271" t="s">
        <v>203</v>
      </c>
      <c r="D126" s="178" t="s">
        <v>505</v>
      </c>
      <c r="E126" s="140">
        <f t="shared" si="1"/>
        <v>0</v>
      </c>
      <c r="F126" s="170"/>
      <c r="G126" s="171"/>
      <c r="H126" s="171"/>
      <c r="I126" s="171"/>
      <c r="J126" s="171"/>
      <c r="K126" s="171"/>
      <c r="L126" s="171"/>
      <c r="M126" s="171"/>
      <c r="N126" s="171"/>
      <c r="O126" s="172"/>
    </row>
    <row r="127" spans="2:15" x14ac:dyDescent="0.2">
      <c r="B127" s="139">
        <v>11400710</v>
      </c>
      <c r="C127" s="271" t="s">
        <v>277</v>
      </c>
      <c r="D127" s="178" t="s">
        <v>503</v>
      </c>
      <c r="E127" s="140">
        <f t="shared" si="1"/>
        <v>0</v>
      </c>
      <c r="F127" s="170"/>
      <c r="G127" s="171"/>
      <c r="H127" s="171"/>
      <c r="I127" s="171"/>
      <c r="J127" s="171"/>
      <c r="K127" s="171"/>
      <c r="L127" s="171"/>
      <c r="M127" s="171"/>
      <c r="N127" s="171"/>
      <c r="O127" s="172"/>
    </row>
    <row r="128" spans="2:15" x14ac:dyDescent="0.2">
      <c r="B128" s="139">
        <v>11400711</v>
      </c>
      <c r="C128" s="271" t="s">
        <v>278</v>
      </c>
      <c r="D128" s="178" t="s">
        <v>503</v>
      </c>
      <c r="E128" s="140">
        <f t="shared" si="1"/>
        <v>0</v>
      </c>
      <c r="F128" s="170"/>
      <c r="G128" s="171"/>
      <c r="H128" s="171"/>
      <c r="I128" s="171"/>
      <c r="J128" s="171"/>
      <c r="K128" s="171"/>
      <c r="L128" s="171"/>
      <c r="M128" s="171"/>
      <c r="N128" s="171"/>
      <c r="O128" s="172"/>
    </row>
    <row r="129" spans="2:15" x14ac:dyDescent="0.2">
      <c r="B129" s="139">
        <v>11400712</v>
      </c>
      <c r="C129" s="271" t="s">
        <v>279</v>
      </c>
      <c r="D129" s="178" t="s">
        <v>503</v>
      </c>
      <c r="E129" s="140">
        <f t="shared" si="1"/>
        <v>0</v>
      </c>
      <c r="F129" s="170"/>
      <c r="G129" s="171"/>
      <c r="H129" s="171"/>
      <c r="I129" s="171"/>
      <c r="J129" s="171"/>
      <c r="K129" s="171"/>
      <c r="L129" s="171"/>
      <c r="M129" s="171"/>
      <c r="N129" s="171"/>
      <c r="O129" s="172"/>
    </row>
    <row r="130" spans="2:15" x14ac:dyDescent="0.2">
      <c r="B130" s="139">
        <v>11400713</v>
      </c>
      <c r="C130" s="271" t="s">
        <v>280</v>
      </c>
      <c r="D130" s="178" t="s">
        <v>503</v>
      </c>
      <c r="E130" s="140">
        <f t="shared" si="1"/>
        <v>0</v>
      </c>
      <c r="F130" s="170"/>
      <c r="G130" s="171"/>
      <c r="H130" s="171"/>
      <c r="I130" s="171"/>
      <c r="J130" s="171"/>
      <c r="K130" s="171"/>
      <c r="L130" s="171"/>
      <c r="M130" s="171"/>
      <c r="N130" s="171"/>
      <c r="O130" s="172"/>
    </row>
    <row r="131" spans="2:15" x14ac:dyDescent="0.2">
      <c r="B131" s="139">
        <v>11400714</v>
      </c>
      <c r="C131" s="271" t="s">
        <v>281</v>
      </c>
      <c r="D131" s="178" t="s">
        <v>503</v>
      </c>
      <c r="E131" s="140">
        <f t="shared" si="1"/>
        <v>0</v>
      </c>
      <c r="F131" s="170"/>
      <c r="G131" s="171"/>
      <c r="H131" s="171"/>
      <c r="I131" s="171"/>
      <c r="J131" s="171"/>
      <c r="K131" s="171"/>
      <c r="L131" s="171"/>
      <c r="M131" s="171"/>
      <c r="N131" s="171"/>
      <c r="O131" s="172"/>
    </row>
    <row r="132" spans="2:15" x14ac:dyDescent="0.2">
      <c r="B132" s="139">
        <v>11400715</v>
      </c>
      <c r="C132" s="271" t="s">
        <v>98</v>
      </c>
      <c r="D132" s="178" t="s">
        <v>505</v>
      </c>
      <c r="E132" s="140">
        <f t="shared" si="1"/>
        <v>0</v>
      </c>
      <c r="F132" s="170"/>
      <c r="G132" s="171"/>
      <c r="H132" s="171"/>
      <c r="I132" s="171"/>
      <c r="J132" s="171"/>
      <c r="K132" s="171"/>
      <c r="L132" s="171"/>
      <c r="M132" s="171"/>
      <c r="N132" s="171"/>
      <c r="O132" s="172"/>
    </row>
    <row r="133" spans="2:15" x14ac:dyDescent="0.2">
      <c r="B133" s="139">
        <v>11400716</v>
      </c>
      <c r="C133" s="271" t="s">
        <v>282</v>
      </c>
      <c r="D133" s="178" t="s">
        <v>503</v>
      </c>
      <c r="E133" s="140">
        <f t="shared" ref="E133:E196" si="2">IF(ISERROR(AVERAGE(F133:O133)),0,AVERAGE(F133:O133))</f>
        <v>0</v>
      </c>
      <c r="F133" s="170"/>
      <c r="G133" s="171"/>
      <c r="H133" s="171"/>
      <c r="I133" s="171"/>
      <c r="J133" s="171"/>
      <c r="K133" s="171"/>
      <c r="L133" s="171"/>
      <c r="M133" s="171"/>
      <c r="N133" s="171"/>
      <c r="O133" s="172"/>
    </row>
    <row r="134" spans="2:15" x14ac:dyDescent="0.2">
      <c r="B134" s="139">
        <v>11400717</v>
      </c>
      <c r="C134" s="271" t="s">
        <v>283</v>
      </c>
      <c r="D134" s="178" t="s">
        <v>503</v>
      </c>
      <c r="E134" s="140">
        <f t="shared" si="2"/>
        <v>0</v>
      </c>
      <c r="F134" s="170"/>
      <c r="G134" s="171"/>
      <c r="H134" s="171"/>
      <c r="I134" s="171"/>
      <c r="J134" s="171"/>
      <c r="K134" s="171"/>
      <c r="L134" s="171"/>
      <c r="M134" s="171"/>
      <c r="N134" s="171"/>
      <c r="O134" s="172"/>
    </row>
    <row r="135" spans="2:15" x14ac:dyDescent="0.2">
      <c r="B135" s="139">
        <v>11400718</v>
      </c>
      <c r="C135" s="271" t="s">
        <v>284</v>
      </c>
      <c r="D135" s="178" t="s">
        <v>503</v>
      </c>
      <c r="E135" s="140">
        <f t="shared" si="2"/>
        <v>0</v>
      </c>
      <c r="F135" s="170"/>
      <c r="G135" s="171"/>
      <c r="H135" s="171"/>
      <c r="I135" s="171"/>
      <c r="J135" s="171"/>
      <c r="K135" s="171"/>
      <c r="L135" s="171"/>
      <c r="M135" s="171"/>
      <c r="N135" s="171"/>
      <c r="O135" s="172"/>
    </row>
    <row r="136" spans="2:15" x14ac:dyDescent="0.2">
      <c r="B136" s="141">
        <v>11400719</v>
      </c>
      <c r="C136" s="271" t="s">
        <v>285</v>
      </c>
      <c r="D136" s="178" t="s">
        <v>503</v>
      </c>
      <c r="E136" s="140">
        <f t="shared" si="2"/>
        <v>0</v>
      </c>
      <c r="F136" s="170"/>
      <c r="G136" s="171"/>
      <c r="H136" s="171"/>
      <c r="I136" s="171"/>
      <c r="J136" s="171"/>
      <c r="K136" s="171"/>
      <c r="L136" s="171"/>
      <c r="M136" s="171"/>
      <c r="N136" s="171"/>
      <c r="O136" s="172"/>
    </row>
    <row r="137" spans="2:15" x14ac:dyDescent="0.2">
      <c r="B137" s="141">
        <v>11400720</v>
      </c>
      <c r="C137" s="271" t="s">
        <v>286</v>
      </c>
      <c r="D137" s="178" t="s">
        <v>504</v>
      </c>
      <c r="E137" s="140">
        <f t="shared" si="2"/>
        <v>0</v>
      </c>
      <c r="F137" s="170"/>
      <c r="G137" s="171"/>
      <c r="H137" s="171"/>
      <c r="I137" s="171"/>
      <c r="J137" s="171"/>
      <c r="K137" s="171"/>
      <c r="L137" s="171"/>
      <c r="M137" s="171"/>
      <c r="N137" s="171"/>
      <c r="O137" s="172"/>
    </row>
    <row r="138" spans="2:15" x14ac:dyDescent="0.2">
      <c r="B138" s="139">
        <v>11400801</v>
      </c>
      <c r="C138" s="271" t="s">
        <v>96</v>
      </c>
      <c r="D138" s="178" t="s">
        <v>504</v>
      </c>
      <c r="E138" s="140">
        <f t="shared" si="2"/>
        <v>0</v>
      </c>
      <c r="F138" s="170"/>
      <c r="G138" s="171"/>
      <c r="H138" s="171"/>
      <c r="I138" s="171"/>
      <c r="J138" s="171"/>
      <c r="K138" s="171"/>
      <c r="L138" s="171"/>
      <c r="M138" s="171"/>
      <c r="N138" s="171"/>
      <c r="O138" s="172"/>
    </row>
    <row r="139" spans="2:15" x14ac:dyDescent="0.2">
      <c r="B139" s="139">
        <v>11400802</v>
      </c>
      <c r="C139" s="271" t="s">
        <v>292</v>
      </c>
      <c r="D139" s="178" t="s">
        <v>504</v>
      </c>
      <c r="E139" s="140">
        <f t="shared" si="2"/>
        <v>0</v>
      </c>
      <c r="F139" s="170"/>
      <c r="G139" s="171"/>
      <c r="H139" s="171"/>
      <c r="I139" s="171"/>
      <c r="J139" s="171"/>
      <c r="K139" s="171"/>
      <c r="L139" s="171"/>
      <c r="M139" s="171"/>
      <c r="N139" s="171"/>
      <c r="O139" s="172"/>
    </row>
    <row r="140" spans="2:15" x14ac:dyDescent="0.2">
      <c r="B140" s="139">
        <v>11400803</v>
      </c>
      <c r="C140" s="271" t="s">
        <v>293</v>
      </c>
      <c r="D140" s="178" t="s">
        <v>503</v>
      </c>
      <c r="E140" s="140">
        <f t="shared" si="2"/>
        <v>0</v>
      </c>
      <c r="F140" s="170"/>
      <c r="G140" s="171"/>
      <c r="H140" s="171"/>
      <c r="I140" s="171"/>
      <c r="J140" s="171"/>
      <c r="K140" s="171"/>
      <c r="L140" s="171"/>
      <c r="M140" s="171"/>
      <c r="N140" s="171"/>
      <c r="O140" s="172"/>
    </row>
    <row r="141" spans="2:15" x14ac:dyDescent="0.2">
      <c r="B141" s="139">
        <v>11400804</v>
      </c>
      <c r="C141" s="271" t="s">
        <v>294</v>
      </c>
      <c r="D141" s="178" t="s">
        <v>503</v>
      </c>
      <c r="E141" s="140">
        <f t="shared" si="2"/>
        <v>0</v>
      </c>
      <c r="F141" s="170"/>
      <c r="G141" s="171"/>
      <c r="H141" s="171"/>
      <c r="I141" s="171"/>
      <c r="J141" s="171"/>
      <c r="K141" s="171"/>
      <c r="L141" s="171"/>
      <c r="M141" s="171"/>
      <c r="N141" s="171"/>
      <c r="O141" s="172"/>
    </row>
    <row r="142" spans="2:15" x14ac:dyDescent="0.2">
      <c r="B142" s="139">
        <v>11400805</v>
      </c>
      <c r="C142" s="271" t="s">
        <v>203</v>
      </c>
      <c r="D142" s="178" t="s">
        <v>505</v>
      </c>
      <c r="E142" s="140">
        <f t="shared" si="2"/>
        <v>0</v>
      </c>
      <c r="F142" s="170"/>
      <c r="G142" s="171"/>
      <c r="H142" s="171"/>
      <c r="I142" s="171"/>
      <c r="J142" s="171"/>
      <c r="K142" s="171"/>
      <c r="L142" s="171"/>
      <c r="M142" s="171"/>
      <c r="N142" s="171"/>
      <c r="O142" s="172"/>
    </row>
    <row r="143" spans="2:15" x14ac:dyDescent="0.2">
      <c r="B143" s="139">
        <v>11400806</v>
      </c>
      <c r="C143" s="271" t="s">
        <v>237</v>
      </c>
      <c r="D143" s="178" t="s">
        <v>503</v>
      </c>
      <c r="E143" s="140">
        <f t="shared" si="2"/>
        <v>0</v>
      </c>
      <c r="F143" s="170"/>
      <c r="G143" s="171"/>
      <c r="H143" s="171"/>
      <c r="I143" s="171"/>
      <c r="J143" s="171"/>
      <c r="K143" s="171"/>
      <c r="L143" s="171"/>
      <c r="M143" s="171"/>
      <c r="N143" s="171"/>
      <c r="O143" s="172"/>
    </row>
    <row r="144" spans="2:15" x14ac:dyDescent="0.2">
      <c r="B144" s="139">
        <v>11400807</v>
      </c>
      <c r="C144" s="271" t="s">
        <v>98</v>
      </c>
      <c r="D144" s="178" t="s">
        <v>505</v>
      </c>
      <c r="E144" s="140">
        <f t="shared" si="2"/>
        <v>0</v>
      </c>
      <c r="F144" s="170"/>
      <c r="G144" s="171"/>
      <c r="H144" s="171"/>
      <c r="I144" s="171"/>
      <c r="J144" s="171"/>
      <c r="K144" s="171"/>
      <c r="L144" s="171"/>
      <c r="M144" s="171"/>
      <c r="N144" s="171"/>
      <c r="O144" s="172"/>
    </row>
    <row r="145" spans="2:15" x14ac:dyDescent="0.2">
      <c r="B145" s="139">
        <v>11400808</v>
      </c>
      <c r="C145" s="271" t="s">
        <v>295</v>
      </c>
      <c r="D145" s="178" t="s">
        <v>507</v>
      </c>
      <c r="E145" s="140">
        <f t="shared" si="2"/>
        <v>0</v>
      </c>
      <c r="F145" s="170"/>
      <c r="G145" s="171"/>
      <c r="H145" s="171"/>
      <c r="I145" s="171"/>
      <c r="J145" s="171"/>
      <c r="K145" s="171"/>
      <c r="L145" s="171"/>
      <c r="M145" s="171"/>
      <c r="N145" s="171"/>
      <c r="O145" s="172"/>
    </row>
    <row r="146" spans="2:15" x14ac:dyDescent="0.2">
      <c r="B146" s="139">
        <v>11400901</v>
      </c>
      <c r="C146" s="271" t="s">
        <v>299</v>
      </c>
      <c r="D146" s="178" t="s">
        <v>505</v>
      </c>
      <c r="E146" s="140">
        <f t="shared" si="2"/>
        <v>0</v>
      </c>
      <c r="F146" s="170"/>
      <c r="G146" s="171"/>
      <c r="H146" s="171"/>
      <c r="I146" s="171"/>
      <c r="J146" s="171"/>
      <c r="K146" s="171"/>
      <c r="L146" s="171"/>
      <c r="M146" s="171"/>
      <c r="N146" s="171"/>
      <c r="O146" s="172"/>
    </row>
    <row r="147" spans="2:15" x14ac:dyDescent="0.2">
      <c r="B147" s="139">
        <v>11400902</v>
      </c>
      <c r="C147" s="271" t="s">
        <v>300</v>
      </c>
      <c r="D147" s="178" t="s">
        <v>507</v>
      </c>
      <c r="E147" s="140">
        <f t="shared" si="2"/>
        <v>0</v>
      </c>
      <c r="F147" s="170"/>
      <c r="G147" s="171"/>
      <c r="H147" s="171"/>
      <c r="I147" s="171"/>
      <c r="J147" s="171"/>
      <c r="K147" s="171"/>
      <c r="L147" s="171"/>
      <c r="M147" s="171"/>
      <c r="N147" s="171"/>
      <c r="O147" s="172"/>
    </row>
    <row r="148" spans="2:15" x14ac:dyDescent="0.2">
      <c r="B148" s="139">
        <v>11400903</v>
      </c>
      <c r="C148" s="271" t="s">
        <v>96</v>
      </c>
      <c r="D148" s="178" t="s">
        <v>504</v>
      </c>
      <c r="E148" s="140">
        <f t="shared" si="2"/>
        <v>0</v>
      </c>
      <c r="F148" s="170"/>
      <c r="G148" s="171"/>
      <c r="H148" s="171"/>
      <c r="I148" s="171"/>
      <c r="J148" s="171"/>
      <c r="K148" s="171"/>
      <c r="L148" s="171"/>
      <c r="M148" s="171"/>
      <c r="N148" s="171"/>
      <c r="O148" s="172"/>
    </row>
    <row r="149" spans="2:15" x14ac:dyDescent="0.2">
      <c r="B149" s="139">
        <v>11400904</v>
      </c>
      <c r="C149" s="271" t="s">
        <v>301</v>
      </c>
      <c r="D149" s="178" t="s">
        <v>504</v>
      </c>
      <c r="E149" s="140">
        <f t="shared" si="2"/>
        <v>0</v>
      </c>
      <c r="F149" s="170"/>
      <c r="G149" s="171"/>
      <c r="H149" s="171"/>
      <c r="I149" s="171"/>
      <c r="J149" s="171"/>
      <c r="K149" s="171"/>
      <c r="L149" s="171"/>
      <c r="M149" s="171"/>
      <c r="N149" s="171"/>
      <c r="O149" s="172"/>
    </row>
    <row r="150" spans="2:15" x14ac:dyDescent="0.2">
      <c r="B150" s="139">
        <v>11400905</v>
      </c>
      <c r="C150" s="271" t="s">
        <v>203</v>
      </c>
      <c r="D150" s="178" t="s">
        <v>505</v>
      </c>
      <c r="E150" s="140">
        <f t="shared" si="2"/>
        <v>0</v>
      </c>
      <c r="F150" s="170"/>
      <c r="G150" s="171"/>
      <c r="H150" s="171"/>
      <c r="I150" s="171"/>
      <c r="J150" s="171"/>
      <c r="K150" s="171"/>
      <c r="L150" s="171"/>
      <c r="M150" s="171"/>
      <c r="N150" s="171"/>
      <c r="O150" s="172"/>
    </row>
    <row r="151" spans="2:15" x14ac:dyDescent="0.2">
      <c r="B151" s="139">
        <v>11400906</v>
      </c>
      <c r="C151" s="271" t="s">
        <v>302</v>
      </c>
      <c r="D151" s="178" t="s">
        <v>505</v>
      </c>
      <c r="E151" s="140">
        <f t="shared" si="2"/>
        <v>0</v>
      </c>
      <c r="F151" s="170"/>
      <c r="G151" s="171"/>
      <c r="H151" s="171"/>
      <c r="I151" s="171"/>
      <c r="J151" s="171"/>
      <c r="K151" s="171"/>
      <c r="L151" s="171"/>
      <c r="M151" s="171"/>
      <c r="N151" s="171"/>
      <c r="O151" s="172"/>
    </row>
    <row r="152" spans="2:15" x14ac:dyDescent="0.2">
      <c r="B152" s="139">
        <v>11400907</v>
      </c>
      <c r="C152" s="271" t="s">
        <v>303</v>
      </c>
      <c r="D152" s="178" t="s">
        <v>507</v>
      </c>
      <c r="E152" s="140">
        <f t="shared" si="2"/>
        <v>0</v>
      </c>
      <c r="F152" s="170"/>
      <c r="G152" s="171"/>
      <c r="H152" s="171"/>
      <c r="I152" s="171"/>
      <c r="J152" s="171"/>
      <c r="K152" s="171"/>
      <c r="L152" s="171"/>
      <c r="M152" s="171"/>
      <c r="N152" s="171"/>
      <c r="O152" s="172"/>
    </row>
    <row r="153" spans="2:15" x14ac:dyDescent="0.2">
      <c r="B153" s="139">
        <v>11400908</v>
      </c>
      <c r="C153" s="271" t="s">
        <v>237</v>
      </c>
      <c r="D153" s="178" t="s">
        <v>503</v>
      </c>
      <c r="E153" s="140">
        <f t="shared" si="2"/>
        <v>0</v>
      </c>
      <c r="F153" s="170"/>
      <c r="G153" s="171"/>
      <c r="H153" s="171"/>
      <c r="I153" s="171"/>
      <c r="J153" s="171"/>
      <c r="K153" s="171"/>
      <c r="L153" s="171"/>
      <c r="M153" s="171"/>
      <c r="N153" s="171"/>
      <c r="O153" s="172"/>
    </row>
    <row r="154" spans="2:15" x14ac:dyDescent="0.2">
      <c r="B154" s="139">
        <v>11400909</v>
      </c>
      <c r="C154" s="271" t="s">
        <v>98</v>
      </c>
      <c r="D154" s="178" t="s">
        <v>505</v>
      </c>
      <c r="E154" s="140">
        <f t="shared" si="2"/>
        <v>0</v>
      </c>
      <c r="F154" s="170"/>
      <c r="G154" s="171"/>
      <c r="H154" s="171"/>
      <c r="I154" s="171"/>
      <c r="J154" s="171"/>
      <c r="K154" s="171"/>
      <c r="L154" s="171"/>
      <c r="M154" s="171"/>
      <c r="N154" s="171"/>
      <c r="O154" s="172"/>
    </row>
    <row r="155" spans="2:15" x14ac:dyDescent="0.2">
      <c r="B155" s="139">
        <v>11400910</v>
      </c>
      <c r="C155" s="271" t="s">
        <v>238</v>
      </c>
      <c r="D155" s="178" t="s">
        <v>503</v>
      </c>
      <c r="E155" s="140">
        <f t="shared" si="2"/>
        <v>0</v>
      </c>
      <c r="F155" s="170"/>
      <c r="G155" s="171"/>
      <c r="H155" s="171"/>
      <c r="I155" s="171"/>
      <c r="J155" s="171"/>
      <c r="K155" s="171"/>
      <c r="L155" s="171"/>
      <c r="M155" s="171"/>
      <c r="N155" s="171"/>
      <c r="O155" s="172"/>
    </row>
    <row r="156" spans="2:15" x14ac:dyDescent="0.2">
      <c r="B156" s="139">
        <v>11400911</v>
      </c>
      <c r="C156" s="271" t="s">
        <v>304</v>
      </c>
      <c r="D156" s="178" t="s">
        <v>503</v>
      </c>
      <c r="E156" s="140">
        <f t="shared" si="2"/>
        <v>0</v>
      </c>
      <c r="F156" s="170"/>
      <c r="G156" s="171"/>
      <c r="H156" s="171"/>
      <c r="I156" s="171"/>
      <c r="J156" s="171"/>
      <c r="K156" s="171"/>
      <c r="L156" s="171"/>
      <c r="M156" s="171"/>
      <c r="N156" s="171"/>
      <c r="O156" s="172"/>
    </row>
    <row r="157" spans="2:15" x14ac:dyDescent="0.2">
      <c r="B157" s="139">
        <v>11400912</v>
      </c>
      <c r="C157" s="271" t="s">
        <v>305</v>
      </c>
      <c r="D157" s="178" t="s">
        <v>503</v>
      </c>
      <c r="E157" s="140">
        <f t="shared" si="2"/>
        <v>0</v>
      </c>
      <c r="F157" s="170"/>
      <c r="G157" s="171"/>
      <c r="H157" s="171"/>
      <c r="I157" s="171"/>
      <c r="J157" s="171"/>
      <c r="K157" s="171"/>
      <c r="L157" s="171"/>
      <c r="M157" s="171"/>
      <c r="N157" s="171"/>
      <c r="O157" s="172"/>
    </row>
    <row r="158" spans="2:15" x14ac:dyDescent="0.2">
      <c r="B158" s="139">
        <v>11401001</v>
      </c>
      <c r="C158" s="271" t="s">
        <v>96</v>
      </c>
      <c r="D158" s="178" t="s">
        <v>504</v>
      </c>
      <c r="E158" s="140">
        <f t="shared" si="2"/>
        <v>0</v>
      </c>
      <c r="F158" s="170"/>
      <c r="G158" s="171"/>
      <c r="H158" s="171"/>
      <c r="I158" s="171"/>
      <c r="J158" s="171"/>
      <c r="K158" s="171"/>
      <c r="L158" s="171"/>
      <c r="M158" s="171"/>
      <c r="N158" s="171"/>
      <c r="O158" s="172"/>
    </row>
    <row r="159" spans="2:15" x14ac:dyDescent="0.2">
      <c r="B159" s="139">
        <v>11401002</v>
      </c>
      <c r="C159" s="271" t="s">
        <v>474</v>
      </c>
      <c r="D159" s="178" t="s">
        <v>505</v>
      </c>
      <c r="E159" s="140">
        <f t="shared" si="2"/>
        <v>0</v>
      </c>
      <c r="F159" s="170"/>
      <c r="G159" s="171"/>
      <c r="H159" s="171"/>
      <c r="I159" s="171"/>
      <c r="J159" s="171"/>
      <c r="K159" s="171"/>
      <c r="L159" s="171"/>
      <c r="M159" s="171"/>
      <c r="N159" s="171"/>
      <c r="O159" s="172"/>
    </row>
    <row r="160" spans="2:15" x14ac:dyDescent="0.2">
      <c r="B160" s="139">
        <v>11401003</v>
      </c>
      <c r="C160" s="271" t="s">
        <v>203</v>
      </c>
      <c r="D160" s="178" t="s">
        <v>505</v>
      </c>
      <c r="E160" s="140">
        <f t="shared" si="2"/>
        <v>0</v>
      </c>
      <c r="F160" s="170"/>
      <c r="G160" s="171"/>
      <c r="H160" s="171"/>
      <c r="I160" s="171"/>
      <c r="J160" s="171"/>
      <c r="K160" s="171"/>
      <c r="L160" s="171"/>
      <c r="M160" s="171"/>
      <c r="N160" s="171"/>
      <c r="O160" s="172"/>
    </row>
    <row r="161" spans="2:15" x14ac:dyDescent="0.2">
      <c r="B161" s="139">
        <v>11401004</v>
      </c>
      <c r="C161" s="271" t="s">
        <v>475</v>
      </c>
      <c r="D161" s="178" t="s">
        <v>505</v>
      </c>
      <c r="E161" s="140">
        <f t="shared" si="2"/>
        <v>0</v>
      </c>
      <c r="F161" s="170"/>
      <c r="G161" s="171"/>
      <c r="H161" s="171"/>
      <c r="I161" s="171"/>
      <c r="J161" s="171"/>
      <c r="K161" s="171"/>
      <c r="L161" s="171"/>
      <c r="M161" s="171"/>
      <c r="N161" s="171"/>
      <c r="O161" s="172"/>
    </row>
    <row r="162" spans="2:15" x14ac:dyDescent="0.2">
      <c r="B162" s="139">
        <v>11401005</v>
      </c>
      <c r="C162" s="271" t="s">
        <v>237</v>
      </c>
      <c r="D162" s="178" t="s">
        <v>503</v>
      </c>
      <c r="E162" s="140">
        <f t="shared" si="2"/>
        <v>0</v>
      </c>
      <c r="F162" s="170"/>
      <c r="G162" s="171"/>
      <c r="H162" s="171"/>
      <c r="I162" s="171"/>
      <c r="J162" s="171"/>
      <c r="K162" s="171"/>
      <c r="L162" s="171"/>
      <c r="M162" s="171"/>
      <c r="N162" s="171"/>
      <c r="O162" s="172"/>
    </row>
    <row r="163" spans="2:15" x14ac:dyDescent="0.2">
      <c r="B163" s="139">
        <v>11401006</v>
      </c>
      <c r="C163" s="271" t="s">
        <v>238</v>
      </c>
      <c r="D163" s="178" t="s">
        <v>503</v>
      </c>
      <c r="E163" s="140">
        <f t="shared" si="2"/>
        <v>0</v>
      </c>
      <c r="F163" s="170"/>
      <c r="G163" s="171"/>
      <c r="H163" s="171"/>
      <c r="I163" s="171"/>
      <c r="J163" s="171"/>
      <c r="K163" s="171"/>
      <c r="L163" s="171"/>
      <c r="M163" s="171"/>
      <c r="N163" s="171"/>
      <c r="O163" s="172"/>
    </row>
    <row r="164" spans="2:15" x14ac:dyDescent="0.2">
      <c r="B164" s="141">
        <v>11401101</v>
      </c>
      <c r="C164" s="271" t="s">
        <v>311</v>
      </c>
      <c r="D164" s="178" t="s">
        <v>503</v>
      </c>
      <c r="E164" s="140">
        <f t="shared" si="2"/>
        <v>0</v>
      </c>
      <c r="F164" s="170"/>
      <c r="G164" s="171"/>
      <c r="H164" s="171"/>
      <c r="I164" s="171"/>
      <c r="J164" s="171"/>
      <c r="K164" s="171"/>
      <c r="L164" s="171"/>
      <c r="M164" s="171"/>
      <c r="N164" s="171"/>
      <c r="O164" s="172"/>
    </row>
    <row r="165" spans="2:15" x14ac:dyDescent="0.2">
      <c r="B165" s="141">
        <v>11401102</v>
      </c>
      <c r="C165" s="271" t="s">
        <v>237</v>
      </c>
      <c r="D165" s="178" t="s">
        <v>503</v>
      </c>
      <c r="E165" s="140">
        <f t="shared" si="2"/>
        <v>0</v>
      </c>
      <c r="F165" s="170"/>
      <c r="G165" s="171"/>
      <c r="H165" s="171"/>
      <c r="I165" s="171"/>
      <c r="J165" s="171"/>
      <c r="K165" s="171"/>
      <c r="L165" s="171"/>
      <c r="M165" s="171"/>
      <c r="N165" s="171"/>
      <c r="O165" s="172"/>
    </row>
    <row r="166" spans="2:15" x14ac:dyDescent="0.2">
      <c r="B166" s="141">
        <v>11401103</v>
      </c>
      <c r="C166" s="271" t="s">
        <v>203</v>
      </c>
      <c r="D166" s="178" t="s">
        <v>505</v>
      </c>
      <c r="E166" s="140">
        <f t="shared" si="2"/>
        <v>0</v>
      </c>
      <c r="F166" s="170"/>
      <c r="G166" s="171"/>
      <c r="H166" s="171"/>
      <c r="I166" s="171"/>
      <c r="J166" s="171"/>
      <c r="K166" s="171"/>
      <c r="L166" s="171"/>
      <c r="M166" s="171"/>
      <c r="N166" s="171"/>
      <c r="O166" s="172"/>
    </row>
    <row r="167" spans="2:15" x14ac:dyDescent="0.2">
      <c r="B167" s="141">
        <v>11401104</v>
      </c>
      <c r="C167" s="271" t="s">
        <v>98</v>
      </c>
      <c r="D167" s="178" t="s">
        <v>505</v>
      </c>
      <c r="E167" s="140">
        <f t="shared" si="2"/>
        <v>0</v>
      </c>
      <c r="F167" s="170"/>
      <c r="G167" s="171"/>
      <c r="H167" s="171"/>
      <c r="I167" s="171"/>
      <c r="J167" s="171"/>
      <c r="K167" s="171"/>
      <c r="L167" s="171"/>
      <c r="M167" s="171"/>
      <c r="N167" s="171"/>
      <c r="O167" s="172"/>
    </row>
    <row r="168" spans="2:15" x14ac:dyDescent="0.2">
      <c r="B168" s="139">
        <v>11401201</v>
      </c>
      <c r="C168" s="271" t="s">
        <v>315</v>
      </c>
      <c r="D168" s="178" t="s">
        <v>503</v>
      </c>
      <c r="E168" s="140">
        <f t="shared" si="2"/>
        <v>0</v>
      </c>
      <c r="F168" s="170"/>
      <c r="G168" s="171"/>
      <c r="H168" s="171"/>
      <c r="I168" s="171"/>
      <c r="J168" s="171"/>
      <c r="K168" s="171"/>
      <c r="L168" s="171"/>
      <c r="M168" s="171"/>
      <c r="N168" s="171"/>
      <c r="O168" s="172"/>
    </row>
    <row r="169" spans="2:15" x14ac:dyDescent="0.2">
      <c r="B169" s="139">
        <v>11401202</v>
      </c>
      <c r="C169" s="271" t="s">
        <v>316</v>
      </c>
      <c r="D169" s="178" t="s">
        <v>503</v>
      </c>
      <c r="E169" s="140">
        <f t="shared" si="2"/>
        <v>0</v>
      </c>
      <c r="F169" s="170"/>
      <c r="G169" s="171"/>
      <c r="H169" s="171"/>
      <c r="I169" s="171"/>
      <c r="J169" s="171"/>
      <c r="K169" s="171"/>
      <c r="L169" s="171"/>
      <c r="M169" s="171"/>
      <c r="N169" s="171"/>
      <c r="O169" s="172"/>
    </row>
    <row r="170" spans="2:15" x14ac:dyDescent="0.2">
      <c r="B170" s="139">
        <v>11401203</v>
      </c>
      <c r="C170" s="271" t="s">
        <v>96</v>
      </c>
      <c r="D170" s="178" t="s">
        <v>504</v>
      </c>
      <c r="E170" s="140">
        <f t="shared" si="2"/>
        <v>0</v>
      </c>
      <c r="F170" s="170"/>
      <c r="G170" s="171"/>
      <c r="H170" s="171"/>
      <c r="I170" s="171"/>
      <c r="J170" s="171"/>
      <c r="K170" s="171"/>
      <c r="L170" s="171"/>
      <c r="M170" s="171"/>
      <c r="N170" s="171"/>
      <c r="O170" s="172"/>
    </row>
    <row r="171" spans="2:15" x14ac:dyDescent="0.2">
      <c r="B171" s="139">
        <v>11401204</v>
      </c>
      <c r="C171" s="271" t="s">
        <v>203</v>
      </c>
      <c r="D171" s="178" t="s">
        <v>505</v>
      </c>
      <c r="E171" s="140">
        <f t="shared" si="2"/>
        <v>0</v>
      </c>
      <c r="F171" s="170"/>
      <c r="G171" s="171"/>
      <c r="H171" s="171"/>
      <c r="I171" s="171"/>
      <c r="J171" s="171"/>
      <c r="K171" s="171"/>
      <c r="L171" s="171"/>
      <c r="M171" s="171"/>
      <c r="N171" s="171"/>
      <c r="O171" s="172"/>
    </row>
    <row r="172" spans="2:15" x14ac:dyDescent="0.2">
      <c r="B172" s="139">
        <v>11401205</v>
      </c>
      <c r="C172" s="271" t="s">
        <v>237</v>
      </c>
      <c r="D172" s="178" t="s">
        <v>503</v>
      </c>
      <c r="E172" s="140">
        <f t="shared" si="2"/>
        <v>0</v>
      </c>
      <c r="F172" s="170"/>
      <c r="G172" s="171"/>
      <c r="H172" s="171"/>
      <c r="I172" s="171"/>
      <c r="J172" s="171"/>
      <c r="K172" s="171"/>
      <c r="L172" s="171"/>
      <c r="M172" s="171"/>
      <c r="N172" s="171"/>
      <c r="O172" s="172"/>
    </row>
    <row r="173" spans="2:15" x14ac:dyDescent="0.2">
      <c r="B173" s="139">
        <v>11401206</v>
      </c>
      <c r="C173" s="271" t="s">
        <v>238</v>
      </c>
      <c r="D173" s="178" t="s">
        <v>503</v>
      </c>
      <c r="E173" s="140">
        <f t="shared" si="2"/>
        <v>0</v>
      </c>
      <c r="F173" s="170"/>
      <c r="G173" s="171"/>
      <c r="H173" s="171"/>
      <c r="I173" s="171"/>
      <c r="J173" s="171"/>
      <c r="K173" s="171"/>
      <c r="L173" s="171"/>
      <c r="M173" s="171"/>
      <c r="N173" s="171"/>
      <c r="O173" s="172"/>
    </row>
    <row r="174" spans="2:15" x14ac:dyDescent="0.2">
      <c r="B174" s="139">
        <v>11401207</v>
      </c>
      <c r="C174" s="271" t="s">
        <v>317</v>
      </c>
      <c r="D174" s="178" t="s">
        <v>503</v>
      </c>
      <c r="E174" s="140">
        <f t="shared" si="2"/>
        <v>0</v>
      </c>
      <c r="F174" s="170"/>
      <c r="G174" s="171"/>
      <c r="H174" s="171"/>
      <c r="I174" s="171"/>
      <c r="J174" s="171"/>
      <c r="K174" s="171"/>
      <c r="L174" s="171"/>
      <c r="M174" s="171"/>
      <c r="N174" s="171"/>
      <c r="O174" s="172"/>
    </row>
    <row r="175" spans="2:15" x14ac:dyDescent="0.2">
      <c r="B175" s="139">
        <v>11401208</v>
      </c>
      <c r="C175" s="271" t="s">
        <v>318</v>
      </c>
      <c r="D175" s="178" t="s">
        <v>503</v>
      </c>
      <c r="E175" s="140">
        <f t="shared" si="2"/>
        <v>0</v>
      </c>
      <c r="F175" s="170"/>
      <c r="G175" s="171"/>
      <c r="H175" s="171"/>
      <c r="I175" s="171"/>
      <c r="J175" s="171"/>
      <c r="K175" s="171"/>
      <c r="L175" s="171"/>
      <c r="M175" s="171"/>
      <c r="N175" s="171"/>
      <c r="O175" s="172"/>
    </row>
    <row r="176" spans="2:15" x14ac:dyDescent="0.2">
      <c r="B176" s="141">
        <v>11401301</v>
      </c>
      <c r="C176" s="271" t="s">
        <v>321</v>
      </c>
      <c r="D176" s="178" t="s">
        <v>503</v>
      </c>
      <c r="E176" s="140">
        <f t="shared" si="2"/>
        <v>0</v>
      </c>
      <c r="F176" s="170"/>
      <c r="G176" s="171"/>
      <c r="H176" s="171"/>
      <c r="I176" s="171"/>
      <c r="J176" s="171"/>
      <c r="K176" s="171"/>
      <c r="L176" s="171"/>
      <c r="M176" s="171"/>
      <c r="N176" s="171"/>
      <c r="O176" s="172"/>
    </row>
    <row r="177" spans="2:15" x14ac:dyDescent="0.2">
      <c r="B177" s="141">
        <v>11401302</v>
      </c>
      <c r="C177" s="271" t="s">
        <v>322</v>
      </c>
      <c r="D177" s="178" t="s">
        <v>503</v>
      </c>
      <c r="E177" s="140">
        <f t="shared" si="2"/>
        <v>0</v>
      </c>
      <c r="F177" s="170"/>
      <c r="G177" s="171"/>
      <c r="H177" s="171"/>
      <c r="I177" s="171"/>
      <c r="J177" s="171"/>
      <c r="K177" s="171"/>
      <c r="L177" s="171"/>
      <c r="M177" s="171"/>
      <c r="N177" s="171"/>
      <c r="O177" s="172"/>
    </row>
    <row r="178" spans="2:15" x14ac:dyDescent="0.2">
      <c r="B178" s="141">
        <v>11401303</v>
      </c>
      <c r="C178" s="271" t="s">
        <v>203</v>
      </c>
      <c r="D178" s="178" t="s">
        <v>505</v>
      </c>
      <c r="E178" s="140">
        <f t="shared" si="2"/>
        <v>0</v>
      </c>
      <c r="F178" s="170"/>
      <c r="G178" s="171"/>
      <c r="H178" s="171"/>
      <c r="I178" s="171"/>
      <c r="J178" s="171"/>
      <c r="K178" s="171"/>
      <c r="L178" s="171"/>
      <c r="M178" s="171"/>
      <c r="N178" s="171"/>
      <c r="O178" s="172"/>
    </row>
    <row r="179" spans="2:15" x14ac:dyDescent="0.2">
      <c r="B179" s="141">
        <v>11401304</v>
      </c>
      <c r="C179" s="271" t="s">
        <v>237</v>
      </c>
      <c r="D179" s="178" t="s">
        <v>503</v>
      </c>
      <c r="E179" s="140">
        <f t="shared" si="2"/>
        <v>0</v>
      </c>
      <c r="F179" s="170"/>
      <c r="G179" s="171"/>
      <c r="H179" s="171"/>
      <c r="I179" s="171"/>
      <c r="J179" s="171"/>
      <c r="K179" s="171"/>
      <c r="L179" s="171"/>
      <c r="M179" s="171"/>
      <c r="N179" s="171"/>
      <c r="O179" s="172"/>
    </row>
    <row r="180" spans="2:15" x14ac:dyDescent="0.2">
      <c r="B180" s="141">
        <v>11401401</v>
      </c>
      <c r="C180" s="271" t="s">
        <v>476</v>
      </c>
      <c r="D180" s="178" t="s">
        <v>507</v>
      </c>
      <c r="E180" s="140">
        <f t="shared" si="2"/>
        <v>0</v>
      </c>
      <c r="F180" s="170"/>
      <c r="G180" s="171"/>
      <c r="H180" s="171"/>
      <c r="I180" s="171"/>
      <c r="J180" s="171"/>
      <c r="K180" s="171"/>
      <c r="L180" s="171"/>
      <c r="M180" s="171"/>
      <c r="N180" s="171"/>
      <c r="O180" s="172"/>
    </row>
    <row r="181" spans="2:15" x14ac:dyDescent="0.2">
      <c r="B181" s="141">
        <v>11401402</v>
      </c>
      <c r="C181" s="271" t="s">
        <v>96</v>
      </c>
      <c r="D181" s="178" t="s">
        <v>504</v>
      </c>
      <c r="E181" s="140">
        <f t="shared" si="2"/>
        <v>0</v>
      </c>
      <c r="F181" s="170"/>
      <c r="G181" s="171"/>
      <c r="H181" s="171"/>
      <c r="I181" s="171"/>
      <c r="J181" s="171"/>
      <c r="K181" s="171"/>
      <c r="L181" s="171"/>
      <c r="M181" s="171"/>
      <c r="N181" s="171"/>
      <c r="O181" s="172"/>
    </row>
    <row r="182" spans="2:15" x14ac:dyDescent="0.2">
      <c r="B182" s="141">
        <v>11401403</v>
      </c>
      <c r="C182" s="271" t="s">
        <v>203</v>
      </c>
      <c r="D182" s="178" t="s">
        <v>505</v>
      </c>
      <c r="E182" s="140">
        <f t="shared" si="2"/>
        <v>0</v>
      </c>
      <c r="F182" s="170"/>
      <c r="G182" s="171"/>
      <c r="H182" s="171"/>
      <c r="I182" s="171"/>
      <c r="J182" s="171"/>
      <c r="K182" s="171"/>
      <c r="L182" s="171"/>
      <c r="M182" s="171"/>
      <c r="N182" s="171"/>
      <c r="O182" s="172"/>
    </row>
    <row r="183" spans="2:15" x14ac:dyDescent="0.2">
      <c r="B183" s="141">
        <v>11401404</v>
      </c>
      <c r="C183" s="271" t="s">
        <v>237</v>
      </c>
      <c r="D183" s="178" t="s">
        <v>503</v>
      </c>
      <c r="E183" s="140">
        <f t="shared" si="2"/>
        <v>0</v>
      </c>
      <c r="F183" s="170"/>
      <c r="G183" s="171"/>
      <c r="H183" s="171"/>
      <c r="I183" s="171"/>
      <c r="J183" s="171"/>
      <c r="K183" s="171"/>
      <c r="L183" s="171"/>
      <c r="M183" s="171"/>
      <c r="N183" s="171"/>
      <c r="O183" s="172"/>
    </row>
    <row r="184" spans="2:15" x14ac:dyDescent="0.2">
      <c r="B184" s="141">
        <v>11401501</v>
      </c>
      <c r="C184" s="271" t="s">
        <v>149</v>
      </c>
      <c r="D184" s="178" t="s">
        <v>504</v>
      </c>
      <c r="E184" s="140">
        <f t="shared" si="2"/>
        <v>0</v>
      </c>
      <c r="F184" s="170"/>
      <c r="G184" s="171"/>
      <c r="H184" s="171"/>
      <c r="I184" s="171"/>
      <c r="J184" s="171"/>
      <c r="K184" s="171"/>
      <c r="L184" s="171"/>
      <c r="M184" s="171"/>
      <c r="N184" s="171"/>
      <c r="O184" s="172"/>
    </row>
    <row r="185" spans="2:15" x14ac:dyDescent="0.2">
      <c r="B185" s="141">
        <v>11401502</v>
      </c>
      <c r="C185" s="271" t="s">
        <v>331</v>
      </c>
      <c r="D185" s="178" t="s">
        <v>503</v>
      </c>
      <c r="E185" s="140">
        <f t="shared" si="2"/>
        <v>0</v>
      </c>
      <c r="F185" s="170"/>
      <c r="G185" s="171"/>
      <c r="H185" s="171"/>
      <c r="I185" s="171"/>
      <c r="J185" s="171"/>
      <c r="K185" s="171"/>
      <c r="L185" s="171"/>
      <c r="M185" s="171"/>
      <c r="N185" s="171"/>
      <c r="O185" s="172"/>
    </row>
    <row r="186" spans="2:15" x14ac:dyDescent="0.2">
      <c r="B186" s="141">
        <v>11401503</v>
      </c>
      <c r="C186" s="271" t="s">
        <v>203</v>
      </c>
      <c r="D186" s="178" t="s">
        <v>505</v>
      </c>
      <c r="E186" s="140">
        <f t="shared" si="2"/>
        <v>0</v>
      </c>
      <c r="F186" s="170"/>
      <c r="G186" s="171"/>
      <c r="H186" s="171"/>
      <c r="I186" s="171"/>
      <c r="J186" s="171"/>
      <c r="K186" s="171"/>
      <c r="L186" s="171"/>
      <c r="M186" s="171"/>
      <c r="N186" s="171"/>
      <c r="O186" s="172"/>
    </row>
    <row r="187" spans="2:15" x14ac:dyDescent="0.2">
      <c r="B187" s="141">
        <v>11401601</v>
      </c>
      <c r="C187" s="271" t="s">
        <v>203</v>
      </c>
      <c r="D187" s="178" t="s">
        <v>505</v>
      </c>
      <c r="E187" s="140">
        <f t="shared" si="2"/>
        <v>0</v>
      </c>
      <c r="F187" s="170"/>
      <c r="G187" s="171"/>
      <c r="H187" s="171"/>
      <c r="I187" s="171"/>
      <c r="J187" s="171"/>
      <c r="K187" s="171"/>
      <c r="L187" s="171"/>
      <c r="M187" s="171"/>
      <c r="N187" s="171"/>
      <c r="O187" s="172"/>
    </row>
    <row r="188" spans="2:15" x14ac:dyDescent="0.2">
      <c r="B188" s="141">
        <v>11401602</v>
      </c>
      <c r="C188" s="271" t="s">
        <v>478</v>
      </c>
      <c r="D188" s="178" t="s">
        <v>503</v>
      </c>
      <c r="E188" s="140">
        <f t="shared" si="2"/>
        <v>0</v>
      </c>
      <c r="F188" s="170"/>
      <c r="G188" s="171"/>
      <c r="H188" s="171"/>
      <c r="I188" s="171"/>
      <c r="J188" s="171"/>
      <c r="K188" s="171"/>
      <c r="L188" s="171"/>
      <c r="M188" s="171"/>
      <c r="N188" s="171"/>
      <c r="O188" s="172"/>
    </row>
    <row r="189" spans="2:15" x14ac:dyDescent="0.2">
      <c r="B189" s="141">
        <v>11401603</v>
      </c>
      <c r="C189" s="271" t="s">
        <v>237</v>
      </c>
      <c r="D189" s="178" t="s">
        <v>503</v>
      </c>
      <c r="E189" s="140">
        <f t="shared" si="2"/>
        <v>0</v>
      </c>
      <c r="F189" s="170"/>
      <c r="G189" s="171"/>
      <c r="H189" s="171"/>
      <c r="I189" s="171"/>
      <c r="J189" s="171"/>
      <c r="K189" s="171"/>
      <c r="L189" s="171"/>
      <c r="M189" s="171"/>
      <c r="N189" s="171"/>
      <c r="O189" s="172"/>
    </row>
    <row r="190" spans="2:15" x14ac:dyDescent="0.2">
      <c r="B190" s="141">
        <v>11401604</v>
      </c>
      <c r="C190" s="271" t="s">
        <v>238</v>
      </c>
      <c r="D190" s="178" t="s">
        <v>503</v>
      </c>
      <c r="E190" s="140">
        <f t="shared" si="2"/>
        <v>0</v>
      </c>
      <c r="F190" s="170"/>
      <c r="G190" s="171"/>
      <c r="H190" s="171"/>
      <c r="I190" s="171"/>
      <c r="J190" s="171"/>
      <c r="K190" s="171"/>
      <c r="L190" s="171"/>
      <c r="M190" s="171"/>
      <c r="N190" s="171"/>
      <c r="O190" s="172"/>
    </row>
    <row r="191" spans="2:15" x14ac:dyDescent="0.2">
      <c r="B191" s="141">
        <v>11401701</v>
      </c>
      <c r="C191" s="271" t="s">
        <v>340</v>
      </c>
      <c r="D191" s="178" t="s">
        <v>504</v>
      </c>
      <c r="E191" s="140">
        <f t="shared" si="2"/>
        <v>0</v>
      </c>
      <c r="F191" s="170"/>
      <c r="G191" s="171"/>
      <c r="H191" s="171"/>
      <c r="I191" s="171"/>
      <c r="J191" s="171"/>
      <c r="K191" s="171"/>
      <c r="L191" s="171"/>
      <c r="M191" s="171"/>
      <c r="N191" s="171"/>
      <c r="O191" s="172"/>
    </row>
    <row r="192" spans="2:15" x14ac:dyDescent="0.2">
      <c r="B192" s="141">
        <v>11401702</v>
      </c>
      <c r="C192" s="271" t="s">
        <v>341</v>
      </c>
      <c r="D192" s="178" t="s">
        <v>504</v>
      </c>
      <c r="E192" s="140">
        <f t="shared" si="2"/>
        <v>0</v>
      </c>
      <c r="F192" s="170"/>
      <c r="G192" s="171"/>
      <c r="H192" s="171"/>
      <c r="I192" s="171"/>
      <c r="J192" s="171"/>
      <c r="K192" s="171"/>
      <c r="L192" s="171"/>
      <c r="M192" s="171"/>
      <c r="N192" s="171"/>
      <c r="O192" s="172"/>
    </row>
    <row r="193" spans="2:15" x14ac:dyDescent="0.2">
      <c r="B193" s="141">
        <v>11401703</v>
      </c>
      <c r="C193" s="271" t="s">
        <v>342</v>
      </c>
      <c r="D193" s="178" t="s">
        <v>504</v>
      </c>
      <c r="E193" s="140">
        <f t="shared" si="2"/>
        <v>0</v>
      </c>
      <c r="F193" s="170"/>
      <c r="G193" s="171"/>
      <c r="H193" s="171"/>
      <c r="I193" s="171"/>
      <c r="J193" s="171"/>
      <c r="K193" s="171"/>
      <c r="L193" s="171"/>
      <c r="M193" s="171"/>
      <c r="N193" s="171"/>
      <c r="O193" s="172"/>
    </row>
    <row r="194" spans="2:15" x14ac:dyDescent="0.2">
      <c r="B194" s="141">
        <v>11401704</v>
      </c>
      <c r="C194" s="271" t="s">
        <v>237</v>
      </c>
      <c r="D194" s="178" t="s">
        <v>504</v>
      </c>
      <c r="E194" s="140">
        <f t="shared" si="2"/>
        <v>0</v>
      </c>
      <c r="F194" s="170"/>
      <c r="G194" s="171"/>
      <c r="H194" s="171"/>
      <c r="I194" s="171"/>
      <c r="J194" s="171"/>
      <c r="K194" s="171"/>
      <c r="L194" s="171"/>
      <c r="M194" s="171"/>
      <c r="N194" s="171"/>
      <c r="O194" s="172"/>
    </row>
    <row r="195" spans="2:15" x14ac:dyDescent="0.2">
      <c r="B195" s="141">
        <v>11401705</v>
      </c>
      <c r="C195" s="271" t="s">
        <v>203</v>
      </c>
      <c r="D195" s="178" t="s">
        <v>505</v>
      </c>
      <c r="E195" s="140">
        <f t="shared" si="2"/>
        <v>0</v>
      </c>
      <c r="F195" s="170"/>
      <c r="G195" s="171"/>
      <c r="H195" s="171"/>
      <c r="I195" s="171"/>
      <c r="J195" s="171"/>
      <c r="K195" s="171"/>
      <c r="L195" s="171"/>
      <c r="M195" s="171"/>
      <c r="N195" s="171"/>
      <c r="O195" s="172"/>
    </row>
    <row r="196" spans="2:15" x14ac:dyDescent="0.2">
      <c r="B196" s="141">
        <v>11401706</v>
      </c>
      <c r="C196" s="271" t="s">
        <v>98</v>
      </c>
      <c r="D196" s="178" t="s">
        <v>505</v>
      </c>
      <c r="E196" s="140">
        <f t="shared" si="2"/>
        <v>0</v>
      </c>
      <c r="F196" s="170"/>
      <c r="G196" s="171"/>
      <c r="H196" s="171"/>
      <c r="I196" s="171"/>
      <c r="J196" s="171"/>
      <c r="K196" s="171"/>
      <c r="L196" s="171"/>
      <c r="M196" s="171"/>
      <c r="N196" s="171"/>
      <c r="O196" s="172"/>
    </row>
    <row r="197" spans="2:15" x14ac:dyDescent="0.2">
      <c r="B197" s="139">
        <v>11401801</v>
      </c>
      <c r="C197" s="271" t="s">
        <v>346</v>
      </c>
      <c r="D197" s="178" t="s">
        <v>507</v>
      </c>
      <c r="E197" s="140">
        <f t="shared" ref="E197:E260" si="3">IF(ISERROR(AVERAGE(F197:O197)),0,AVERAGE(F197:O197))</f>
        <v>0</v>
      </c>
      <c r="F197" s="170"/>
      <c r="G197" s="171"/>
      <c r="H197" s="171"/>
      <c r="I197" s="171"/>
      <c r="J197" s="171"/>
      <c r="K197" s="171"/>
      <c r="L197" s="171"/>
      <c r="M197" s="171"/>
      <c r="N197" s="171"/>
      <c r="O197" s="172"/>
    </row>
    <row r="198" spans="2:15" x14ac:dyDescent="0.2">
      <c r="B198" s="139">
        <v>11401802</v>
      </c>
      <c r="C198" s="271" t="s">
        <v>347</v>
      </c>
      <c r="D198" s="178" t="s">
        <v>507</v>
      </c>
      <c r="E198" s="140">
        <f t="shared" si="3"/>
        <v>0</v>
      </c>
      <c r="F198" s="170"/>
      <c r="G198" s="171"/>
      <c r="H198" s="171"/>
      <c r="I198" s="171"/>
      <c r="J198" s="171"/>
      <c r="K198" s="171"/>
      <c r="L198" s="171"/>
      <c r="M198" s="171"/>
      <c r="N198" s="171"/>
      <c r="O198" s="172"/>
    </row>
    <row r="199" spans="2:15" x14ac:dyDescent="0.2">
      <c r="B199" s="139">
        <v>11401803</v>
      </c>
      <c r="C199" s="271" t="s">
        <v>237</v>
      </c>
      <c r="D199" s="178" t="s">
        <v>503</v>
      </c>
      <c r="E199" s="140">
        <f t="shared" si="3"/>
        <v>0</v>
      </c>
      <c r="F199" s="170"/>
      <c r="G199" s="171"/>
      <c r="H199" s="171"/>
      <c r="I199" s="171"/>
      <c r="J199" s="171"/>
      <c r="K199" s="171"/>
      <c r="L199" s="171"/>
      <c r="M199" s="171"/>
      <c r="N199" s="171"/>
      <c r="O199" s="172"/>
    </row>
    <row r="200" spans="2:15" x14ac:dyDescent="0.2">
      <c r="B200" s="139">
        <v>11401804</v>
      </c>
      <c r="C200" s="271" t="s">
        <v>203</v>
      </c>
      <c r="D200" s="178" t="s">
        <v>505</v>
      </c>
      <c r="E200" s="140">
        <f t="shared" si="3"/>
        <v>0</v>
      </c>
      <c r="F200" s="170"/>
      <c r="G200" s="171"/>
      <c r="H200" s="171"/>
      <c r="I200" s="171"/>
      <c r="J200" s="171"/>
      <c r="K200" s="171"/>
      <c r="L200" s="171"/>
      <c r="M200" s="171"/>
      <c r="N200" s="171"/>
      <c r="O200" s="172"/>
    </row>
    <row r="201" spans="2:15" x14ac:dyDescent="0.2">
      <c r="B201" s="139">
        <v>11401805</v>
      </c>
      <c r="C201" s="271" t="s">
        <v>98</v>
      </c>
      <c r="D201" s="178" t="s">
        <v>505</v>
      </c>
      <c r="E201" s="140">
        <f t="shared" si="3"/>
        <v>0</v>
      </c>
      <c r="F201" s="170"/>
      <c r="G201" s="171"/>
      <c r="H201" s="171"/>
      <c r="I201" s="171"/>
      <c r="J201" s="171"/>
      <c r="K201" s="171"/>
      <c r="L201" s="171"/>
      <c r="M201" s="171"/>
      <c r="N201" s="171"/>
      <c r="O201" s="172"/>
    </row>
    <row r="202" spans="2:15" x14ac:dyDescent="0.2">
      <c r="B202" s="139">
        <v>11401901</v>
      </c>
      <c r="C202" s="271" t="s">
        <v>356</v>
      </c>
      <c r="D202" s="178" t="s">
        <v>503</v>
      </c>
      <c r="E202" s="140">
        <f t="shared" si="3"/>
        <v>0</v>
      </c>
      <c r="F202" s="170"/>
      <c r="G202" s="171"/>
      <c r="H202" s="171"/>
      <c r="I202" s="171"/>
      <c r="J202" s="171"/>
      <c r="K202" s="171"/>
      <c r="L202" s="171"/>
      <c r="M202" s="171"/>
      <c r="N202" s="171"/>
      <c r="O202" s="172"/>
    </row>
    <row r="203" spans="2:15" x14ac:dyDescent="0.2">
      <c r="B203" s="139">
        <v>11401902</v>
      </c>
      <c r="C203" s="271" t="s">
        <v>350</v>
      </c>
      <c r="D203" s="178" t="s">
        <v>506</v>
      </c>
      <c r="E203" s="140">
        <f t="shared" si="3"/>
        <v>0</v>
      </c>
      <c r="F203" s="170"/>
      <c r="G203" s="171"/>
      <c r="H203" s="171"/>
      <c r="I203" s="171"/>
      <c r="J203" s="171"/>
      <c r="K203" s="171"/>
      <c r="L203" s="171"/>
      <c r="M203" s="171"/>
      <c r="N203" s="171"/>
      <c r="O203" s="172"/>
    </row>
    <row r="204" spans="2:15" x14ac:dyDescent="0.2">
      <c r="B204" s="139">
        <v>11401903</v>
      </c>
      <c r="C204" s="271" t="s">
        <v>360</v>
      </c>
      <c r="D204" s="178" t="s">
        <v>503</v>
      </c>
      <c r="E204" s="140">
        <f t="shared" si="3"/>
        <v>0</v>
      </c>
      <c r="F204" s="170"/>
      <c r="G204" s="171"/>
      <c r="H204" s="171"/>
      <c r="I204" s="171"/>
      <c r="J204" s="171"/>
      <c r="K204" s="171"/>
      <c r="L204" s="171"/>
      <c r="M204" s="171"/>
      <c r="N204" s="171"/>
      <c r="O204" s="172"/>
    </row>
    <row r="205" spans="2:15" x14ac:dyDescent="0.2">
      <c r="B205" s="139">
        <v>11401904</v>
      </c>
      <c r="C205" s="271" t="s">
        <v>361</v>
      </c>
      <c r="D205" s="178" t="s">
        <v>503</v>
      </c>
      <c r="E205" s="140">
        <f t="shared" si="3"/>
        <v>0</v>
      </c>
      <c r="F205" s="170"/>
      <c r="G205" s="171"/>
      <c r="H205" s="171"/>
      <c r="I205" s="171"/>
      <c r="J205" s="171"/>
      <c r="K205" s="171"/>
      <c r="L205" s="171"/>
      <c r="M205" s="171"/>
      <c r="N205" s="171"/>
      <c r="O205" s="172"/>
    </row>
    <row r="206" spans="2:15" x14ac:dyDescent="0.2">
      <c r="B206" s="139">
        <v>11401905</v>
      </c>
      <c r="C206" s="271" t="s">
        <v>362</v>
      </c>
      <c r="D206" s="178" t="s">
        <v>503</v>
      </c>
      <c r="E206" s="140">
        <f t="shared" si="3"/>
        <v>0</v>
      </c>
      <c r="F206" s="170"/>
      <c r="G206" s="171"/>
      <c r="H206" s="171"/>
      <c r="I206" s="171"/>
      <c r="J206" s="171"/>
      <c r="K206" s="171"/>
      <c r="L206" s="171"/>
      <c r="M206" s="171"/>
      <c r="N206" s="171"/>
      <c r="O206" s="172"/>
    </row>
    <row r="207" spans="2:15" ht="25.5" x14ac:dyDescent="0.2">
      <c r="B207" s="139">
        <v>11401906</v>
      </c>
      <c r="C207" s="271" t="s">
        <v>352</v>
      </c>
      <c r="D207" s="178" t="s">
        <v>505</v>
      </c>
      <c r="E207" s="140">
        <f t="shared" si="3"/>
        <v>0</v>
      </c>
      <c r="F207" s="170"/>
      <c r="G207" s="171"/>
      <c r="H207" s="171"/>
      <c r="I207" s="171"/>
      <c r="J207" s="171"/>
      <c r="K207" s="171"/>
      <c r="L207" s="171"/>
      <c r="M207" s="171"/>
      <c r="N207" s="171"/>
      <c r="O207" s="172"/>
    </row>
    <row r="208" spans="2:15" x14ac:dyDescent="0.2">
      <c r="B208" s="139">
        <v>11401907</v>
      </c>
      <c r="C208" s="271" t="s">
        <v>363</v>
      </c>
      <c r="D208" s="178" t="s">
        <v>503</v>
      </c>
      <c r="E208" s="140">
        <f t="shared" si="3"/>
        <v>0</v>
      </c>
      <c r="F208" s="170"/>
      <c r="G208" s="171"/>
      <c r="H208" s="171"/>
      <c r="I208" s="171"/>
      <c r="J208" s="171"/>
      <c r="K208" s="171"/>
      <c r="L208" s="171"/>
      <c r="M208" s="171"/>
      <c r="N208" s="171"/>
      <c r="O208" s="172"/>
    </row>
    <row r="209" spans="2:15" x14ac:dyDescent="0.2">
      <c r="B209" s="139">
        <v>11401908</v>
      </c>
      <c r="C209" s="271" t="s">
        <v>364</v>
      </c>
      <c r="D209" s="178" t="s">
        <v>506</v>
      </c>
      <c r="E209" s="140">
        <f t="shared" si="3"/>
        <v>0</v>
      </c>
      <c r="F209" s="170"/>
      <c r="G209" s="171"/>
      <c r="H209" s="171"/>
      <c r="I209" s="171"/>
      <c r="J209" s="171"/>
      <c r="K209" s="171"/>
      <c r="L209" s="171"/>
      <c r="M209" s="171"/>
      <c r="N209" s="171"/>
      <c r="O209" s="172"/>
    </row>
    <row r="210" spans="2:15" x14ac:dyDescent="0.2">
      <c r="B210" s="139">
        <v>11401909</v>
      </c>
      <c r="C210" s="271" t="s">
        <v>365</v>
      </c>
      <c r="D210" s="178" t="s">
        <v>505</v>
      </c>
      <c r="E210" s="140">
        <f t="shared" si="3"/>
        <v>0</v>
      </c>
      <c r="F210" s="170"/>
      <c r="G210" s="171"/>
      <c r="H210" s="171"/>
      <c r="I210" s="171"/>
      <c r="J210" s="171"/>
      <c r="K210" s="171"/>
      <c r="L210" s="171"/>
      <c r="M210" s="171"/>
      <c r="N210" s="171"/>
      <c r="O210" s="172"/>
    </row>
    <row r="211" spans="2:15" x14ac:dyDescent="0.2">
      <c r="B211" s="139">
        <v>11401910</v>
      </c>
      <c r="C211" s="271" t="s">
        <v>366</v>
      </c>
      <c r="D211" s="178" t="s">
        <v>503</v>
      </c>
      <c r="E211" s="140">
        <f t="shared" si="3"/>
        <v>0</v>
      </c>
      <c r="F211" s="170"/>
      <c r="G211" s="171"/>
      <c r="H211" s="171"/>
      <c r="I211" s="171"/>
      <c r="J211" s="171"/>
      <c r="K211" s="171"/>
      <c r="L211" s="171"/>
      <c r="M211" s="171"/>
      <c r="N211" s="171"/>
      <c r="O211" s="172"/>
    </row>
    <row r="212" spans="2:15" x14ac:dyDescent="0.2">
      <c r="B212" s="139">
        <v>11401911</v>
      </c>
      <c r="C212" s="271" t="s">
        <v>237</v>
      </c>
      <c r="D212" s="178" t="s">
        <v>503</v>
      </c>
      <c r="E212" s="140">
        <f t="shared" si="3"/>
        <v>0</v>
      </c>
      <c r="F212" s="170"/>
      <c r="G212" s="171"/>
      <c r="H212" s="171"/>
      <c r="I212" s="171"/>
      <c r="J212" s="171"/>
      <c r="K212" s="171"/>
      <c r="L212" s="171"/>
      <c r="M212" s="171"/>
      <c r="N212" s="171"/>
      <c r="O212" s="172"/>
    </row>
    <row r="213" spans="2:15" x14ac:dyDescent="0.2">
      <c r="B213" s="139">
        <v>11401912</v>
      </c>
      <c r="C213" s="271" t="s">
        <v>98</v>
      </c>
      <c r="D213" s="178" t="s">
        <v>505</v>
      </c>
      <c r="E213" s="140">
        <f t="shared" si="3"/>
        <v>0</v>
      </c>
      <c r="F213" s="170"/>
      <c r="G213" s="171"/>
      <c r="H213" s="171"/>
      <c r="I213" s="171"/>
      <c r="J213" s="171"/>
      <c r="K213" s="171"/>
      <c r="L213" s="171"/>
      <c r="M213" s="171"/>
      <c r="N213" s="171"/>
      <c r="O213" s="172"/>
    </row>
    <row r="214" spans="2:15" x14ac:dyDescent="0.2">
      <c r="B214" s="139">
        <v>11401913</v>
      </c>
      <c r="C214" s="271" t="s">
        <v>353</v>
      </c>
      <c r="D214" s="178" t="s">
        <v>503</v>
      </c>
      <c r="E214" s="140">
        <f t="shared" si="3"/>
        <v>0</v>
      </c>
      <c r="F214" s="170"/>
      <c r="G214" s="171"/>
      <c r="H214" s="171"/>
      <c r="I214" s="171"/>
      <c r="J214" s="171"/>
      <c r="K214" s="171"/>
      <c r="L214" s="171"/>
      <c r="M214" s="171"/>
      <c r="N214" s="171"/>
      <c r="O214" s="172"/>
    </row>
    <row r="215" spans="2:15" x14ac:dyDescent="0.2">
      <c r="B215" s="139">
        <v>11401914</v>
      </c>
      <c r="C215" s="271" t="s">
        <v>354</v>
      </c>
      <c r="D215" s="178" t="s">
        <v>503</v>
      </c>
      <c r="E215" s="140">
        <f t="shared" si="3"/>
        <v>0</v>
      </c>
      <c r="F215" s="170"/>
      <c r="G215" s="171"/>
      <c r="H215" s="171"/>
      <c r="I215" s="171"/>
      <c r="J215" s="171"/>
      <c r="K215" s="171"/>
      <c r="L215" s="171"/>
      <c r="M215" s="171"/>
      <c r="N215" s="171"/>
      <c r="O215" s="172"/>
    </row>
    <row r="216" spans="2:15" x14ac:dyDescent="0.2">
      <c r="B216" s="139">
        <v>11401915</v>
      </c>
      <c r="C216" s="271" t="s">
        <v>355</v>
      </c>
      <c r="D216" s="178" t="s">
        <v>505</v>
      </c>
      <c r="E216" s="140">
        <f t="shared" si="3"/>
        <v>0</v>
      </c>
      <c r="F216" s="170"/>
      <c r="G216" s="171"/>
      <c r="H216" s="171"/>
      <c r="I216" s="171"/>
      <c r="J216" s="171"/>
      <c r="K216" s="171"/>
      <c r="L216" s="171"/>
      <c r="M216" s="171"/>
      <c r="N216" s="171"/>
      <c r="O216" s="172"/>
    </row>
    <row r="217" spans="2:15" x14ac:dyDescent="0.2">
      <c r="B217" s="139">
        <v>11401916</v>
      </c>
      <c r="C217" s="271" t="s">
        <v>367</v>
      </c>
      <c r="D217" s="178" t="s">
        <v>503</v>
      </c>
      <c r="E217" s="140">
        <f t="shared" si="3"/>
        <v>0</v>
      </c>
      <c r="F217" s="170"/>
      <c r="G217" s="171"/>
      <c r="H217" s="171"/>
      <c r="I217" s="171"/>
      <c r="J217" s="171"/>
      <c r="K217" s="171"/>
      <c r="L217" s="171"/>
      <c r="M217" s="171"/>
      <c r="N217" s="171"/>
      <c r="O217" s="172"/>
    </row>
    <row r="218" spans="2:15" x14ac:dyDescent="0.2">
      <c r="B218" s="139">
        <v>11401917</v>
      </c>
      <c r="C218" s="271" t="s">
        <v>368</v>
      </c>
      <c r="D218" s="178" t="s">
        <v>503</v>
      </c>
      <c r="E218" s="140">
        <f t="shared" si="3"/>
        <v>0</v>
      </c>
      <c r="F218" s="170"/>
      <c r="G218" s="171"/>
      <c r="H218" s="171"/>
      <c r="I218" s="171"/>
      <c r="J218" s="171"/>
      <c r="K218" s="171"/>
      <c r="L218" s="171"/>
      <c r="M218" s="171"/>
      <c r="N218" s="171"/>
      <c r="O218" s="172"/>
    </row>
    <row r="219" spans="2:15" x14ac:dyDescent="0.2">
      <c r="B219" s="139">
        <v>11402001</v>
      </c>
      <c r="C219" s="271" t="s">
        <v>371</v>
      </c>
      <c r="D219" s="178" t="s">
        <v>503</v>
      </c>
      <c r="E219" s="140">
        <f t="shared" si="3"/>
        <v>0</v>
      </c>
      <c r="F219" s="170"/>
      <c r="G219" s="171"/>
      <c r="H219" s="171"/>
      <c r="I219" s="171"/>
      <c r="J219" s="171"/>
      <c r="K219" s="171"/>
      <c r="L219" s="171"/>
      <c r="M219" s="171"/>
      <c r="N219" s="171"/>
      <c r="O219" s="172"/>
    </row>
    <row r="220" spans="2:15" ht="25.5" x14ac:dyDescent="0.2">
      <c r="B220" s="139">
        <v>11402002</v>
      </c>
      <c r="C220" s="271" t="s">
        <v>479</v>
      </c>
      <c r="D220" s="178" t="s">
        <v>505</v>
      </c>
      <c r="E220" s="140">
        <f t="shared" si="3"/>
        <v>0</v>
      </c>
      <c r="F220" s="170"/>
      <c r="G220" s="171"/>
      <c r="H220" s="171"/>
      <c r="I220" s="171"/>
      <c r="J220" s="171"/>
      <c r="K220" s="171"/>
      <c r="L220" s="171"/>
      <c r="M220" s="171"/>
      <c r="N220" s="171"/>
      <c r="O220" s="172"/>
    </row>
    <row r="221" spans="2:15" x14ac:dyDescent="0.2">
      <c r="B221" s="139">
        <v>11402003</v>
      </c>
      <c r="C221" s="271" t="s">
        <v>203</v>
      </c>
      <c r="D221" s="178" t="s">
        <v>505</v>
      </c>
      <c r="E221" s="140">
        <f t="shared" si="3"/>
        <v>0</v>
      </c>
      <c r="F221" s="170"/>
      <c r="G221" s="171"/>
      <c r="H221" s="171"/>
      <c r="I221" s="171"/>
      <c r="J221" s="171"/>
      <c r="K221" s="171"/>
      <c r="L221" s="171"/>
      <c r="M221" s="171"/>
      <c r="N221" s="171"/>
      <c r="O221" s="172"/>
    </row>
    <row r="222" spans="2:15" x14ac:dyDescent="0.2">
      <c r="B222" s="139">
        <v>11402004</v>
      </c>
      <c r="C222" s="271" t="s">
        <v>237</v>
      </c>
      <c r="D222" s="178" t="s">
        <v>503</v>
      </c>
      <c r="E222" s="140">
        <f t="shared" si="3"/>
        <v>0</v>
      </c>
      <c r="F222" s="170"/>
      <c r="G222" s="171"/>
      <c r="H222" s="171"/>
      <c r="I222" s="171"/>
      <c r="J222" s="171"/>
      <c r="K222" s="171"/>
      <c r="L222" s="171"/>
      <c r="M222" s="171"/>
      <c r="N222" s="171"/>
      <c r="O222" s="172"/>
    </row>
    <row r="223" spans="2:15" x14ac:dyDescent="0.2">
      <c r="B223" s="139">
        <v>11402101</v>
      </c>
      <c r="C223" s="271" t="s">
        <v>375</v>
      </c>
      <c r="D223" s="178" t="s">
        <v>503</v>
      </c>
      <c r="E223" s="140">
        <f t="shared" si="3"/>
        <v>0</v>
      </c>
      <c r="F223" s="170"/>
      <c r="G223" s="171"/>
      <c r="H223" s="171"/>
      <c r="I223" s="171"/>
      <c r="J223" s="171"/>
      <c r="K223" s="171"/>
      <c r="L223" s="171"/>
      <c r="M223" s="171"/>
      <c r="N223" s="171"/>
      <c r="O223" s="172"/>
    </row>
    <row r="224" spans="2:15" x14ac:dyDescent="0.2">
      <c r="B224" s="139">
        <v>11402102</v>
      </c>
      <c r="C224" s="271" t="s">
        <v>376</v>
      </c>
      <c r="D224" s="178" t="s">
        <v>503</v>
      </c>
      <c r="E224" s="140">
        <f t="shared" si="3"/>
        <v>0</v>
      </c>
      <c r="F224" s="170"/>
      <c r="G224" s="171"/>
      <c r="H224" s="171"/>
      <c r="I224" s="171"/>
      <c r="J224" s="171"/>
      <c r="K224" s="171"/>
      <c r="L224" s="171"/>
      <c r="M224" s="171"/>
      <c r="N224" s="171"/>
      <c r="O224" s="172"/>
    </row>
    <row r="225" spans="2:15" x14ac:dyDescent="0.2">
      <c r="B225" s="139">
        <v>11402103</v>
      </c>
      <c r="C225" s="271" t="s">
        <v>607</v>
      </c>
      <c r="D225" s="178" t="s">
        <v>606</v>
      </c>
      <c r="E225" s="140">
        <f t="shared" si="3"/>
        <v>0</v>
      </c>
      <c r="F225" s="170"/>
      <c r="G225" s="171"/>
      <c r="H225" s="171"/>
      <c r="I225" s="171"/>
      <c r="J225" s="171"/>
      <c r="K225" s="171"/>
      <c r="L225" s="171"/>
      <c r="M225" s="171"/>
      <c r="N225" s="171"/>
      <c r="O225" s="172"/>
    </row>
    <row r="226" spans="2:15" x14ac:dyDescent="0.2">
      <c r="B226" s="139">
        <v>11402104</v>
      </c>
      <c r="C226" s="271" t="s">
        <v>377</v>
      </c>
      <c r="D226" s="178" t="s">
        <v>503</v>
      </c>
      <c r="E226" s="140">
        <f t="shared" si="3"/>
        <v>0</v>
      </c>
      <c r="F226" s="170"/>
      <c r="G226" s="171"/>
      <c r="H226" s="171"/>
      <c r="I226" s="171"/>
      <c r="J226" s="171"/>
      <c r="K226" s="171"/>
      <c r="L226" s="171"/>
      <c r="M226" s="171"/>
      <c r="N226" s="171"/>
      <c r="O226" s="172"/>
    </row>
    <row r="227" spans="2:15" x14ac:dyDescent="0.2">
      <c r="B227" s="139">
        <v>11402105</v>
      </c>
      <c r="C227" s="271" t="s">
        <v>96</v>
      </c>
      <c r="D227" s="178" t="s">
        <v>504</v>
      </c>
      <c r="E227" s="140">
        <f t="shared" si="3"/>
        <v>0</v>
      </c>
      <c r="F227" s="170"/>
      <c r="G227" s="171"/>
      <c r="H227" s="171"/>
      <c r="I227" s="171"/>
      <c r="J227" s="171"/>
      <c r="K227" s="171"/>
      <c r="L227" s="171"/>
      <c r="M227" s="171"/>
      <c r="N227" s="171"/>
      <c r="O227" s="172"/>
    </row>
    <row r="228" spans="2:15" x14ac:dyDescent="0.2">
      <c r="B228" s="139">
        <v>11402106</v>
      </c>
      <c r="C228" s="271" t="s">
        <v>378</v>
      </c>
      <c r="D228" s="178" t="s">
        <v>504</v>
      </c>
      <c r="E228" s="140">
        <f t="shared" si="3"/>
        <v>0</v>
      </c>
      <c r="F228" s="170"/>
      <c r="G228" s="171"/>
      <c r="H228" s="171"/>
      <c r="I228" s="171"/>
      <c r="J228" s="171"/>
      <c r="K228" s="171"/>
      <c r="L228" s="171"/>
      <c r="M228" s="171"/>
      <c r="N228" s="171"/>
      <c r="O228" s="172"/>
    </row>
    <row r="229" spans="2:15" x14ac:dyDescent="0.2">
      <c r="B229" s="139">
        <v>11402107</v>
      </c>
      <c r="C229" s="271" t="s">
        <v>379</v>
      </c>
      <c r="D229" s="178" t="s">
        <v>503</v>
      </c>
      <c r="E229" s="140">
        <f t="shared" si="3"/>
        <v>0</v>
      </c>
      <c r="F229" s="170"/>
      <c r="G229" s="171"/>
      <c r="H229" s="171"/>
      <c r="I229" s="171"/>
      <c r="J229" s="171"/>
      <c r="K229" s="171"/>
      <c r="L229" s="171"/>
      <c r="M229" s="171"/>
      <c r="N229" s="171"/>
      <c r="O229" s="172"/>
    </row>
    <row r="230" spans="2:15" x14ac:dyDescent="0.2">
      <c r="B230" s="139">
        <v>11402108</v>
      </c>
      <c r="C230" s="271" t="s">
        <v>380</v>
      </c>
      <c r="D230" s="178" t="s">
        <v>505</v>
      </c>
      <c r="E230" s="140">
        <f t="shared" si="3"/>
        <v>0</v>
      </c>
      <c r="F230" s="170"/>
      <c r="G230" s="171"/>
      <c r="H230" s="171"/>
      <c r="I230" s="171"/>
      <c r="J230" s="171"/>
      <c r="K230" s="171"/>
      <c r="L230" s="171"/>
      <c r="M230" s="171"/>
      <c r="N230" s="171"/>
      <c r="O230" s="172"/>
    </row>
    <row r="231" spans="2:15" x14ac:dyDescent="0.2">
      <c r="B231" s="139">
        <v>11402109</v>
      </c>
      <c r="C231" s="271" t="s">
        <v>203</v>
      </c>
      <c r="D231" s="178" t="s">
        <v>505</v>
      </c>
      <c r="E231" s="140">
        <f t="shared" si="3"/>
        <v>0</v>
      </c>
      <c r="F231" s="170"/>
      <c r="G231" s="171"/>
      <c r="H231" s="171"/>
      <c r="I231" s="171"/>
      <c r="J231" s="171"/>
      <c r="K231" s="171"/>
      <c r="L231" s="171"/>
      <c r="M231" s="171"/>
      <c r="N231" s="171"/>
      <c r="O231" s="172"/>
    </row>
    <row r="232" spans="2:15" x14ac:dyDescent="0.2">
      <c r="B232" s="139">
        <v>11402110</v>
      </c>
      <c r="C232" s="271" t="s">
        <v>237</v>
      </c>
      <c r="D232" s="178" t="s">
        <v>503</v>
      </c>
      <c r="E232" s="140">
        <f t="shared" si="3"/>
        <v>0</v>
      </c>
      <c r="F232" s="170"/>
      <c r="G232" s="171"/>
      <c r="H232" s="171"/>
      <c r="I232" s="171"/>
      <c r="J232" s="171"/>
      <c r="K232" s="171"/>
      <c r="L232" s="171"/>
      <c r="M232" s="171"/>
      <c r="N232" s="171"/>
      <c r="O232" s="172"/>
    </row>
    <row r="233" spans="2:15" x14ac:dyDescent="0.2">
      <c r="B233" s="139">
        <v>11402111</v>
      </c>
      <c r="C233" s="271" t="s">
        <v>381</v>
      </c>
      <c r="D233" s="178" t="s">
        <v>503</v>
      </c>
      <c r="E233" s="140">
        <f t="shared" si="3"/>
        <v>0</v>
      </c>
      <c r="F233" s="170"/>
      <c r="G233" s="171"/>
      <c r="H233" s="171"/>
      <c r="I233" s="171"/>
      <c r="J233" s="171"/>
      <c r="K233" s="171"/>
      <c r="L233" s="171"/>
      <c r="M233" s="171"/>
      <c r="N233" s="171"/>
      <c r="O233" s="172"/>
    </row>
    <row r="234" spans="2:15" x14ac:dyDescent="0.2">
      <c r="B234" s="139">
        <v>11402112</v>
      </c>
      <c r="C234" s="271" t="s">
        <v>382</v>
      </c>
      <c r="D234" s="178" t="s">
        <v>503</v>
      </c>
      <c r="E234" s="140">
        <f t="shared" si="3"/>
        <v>0</v>
      </c>
      <c r="F234" s="170"/>
      <c r="G234" s="171"/>
      <c r="H234" s="171"/>
      <c r="I234" s="171"/>
      <c r="J234" s="171"/>
      <c r="K234" s="171"/>
      <c r="L234" s="171"/>
      <c r="M234" s="171"/>
      <c r="N234" s="171"/>
      <c r="O234" s="172"/>
    </row>
    <row r="235" spans="2:15" x14ac:dyDescent="0.2">
      <c r="B235" s="139">
        <v>11402113</v>
      </c>
      <c r="C235" s="271" t="s">
        <v>383</v>
      </c>
      <c r="D235" s="178" t="s">
        <v>503</v>
      </c>
      <c r="E235" s="140">
        <f t="shared" si="3"/>
        <v>0</v>
      </c>
      <c r="F235" s="170"/>
      <c r="G235" s="171"/>
      <c r="H235" s="171"/>
      <c r="I235" s="171"/>
      <c r="J235" s="171"/>
      <c r="K235" s="171"/>
      <c r="L235" s="171"/>
      <c r="M235" s="171"/>
      <c r="N235" s="171"/>
      <c r="O235" s="172"/>
    </row>
    <row r="236" spans="2:15" x14ac:dyDescent="0.2">
      <c r="B236" s="139">
        <v>11402114</v>
      </c>
      <c r="C236" s="271" t="s">
        <v>384</v>
      </c>
      <c r="D236" s="178" t="s">
        <v>503</v>
      </c>
      <c r="E236" s="140">
        <f t="shared" si="3"/>
        <v>0</v>
      </c>
      <c r="F236" s="170"/>
      <c r="G236" s="171"/>
      <c r="H236" s="171"/>
      <c r="I236" s="171"/>
      <c r="J236" s="171"/>
      <c r="K236" s="171"/>
      <c r="L236" s="171"/>
      <c r="M236" s="171"/>
      <c r="N236" s="171"/>
      <c r="O236" s="172"/>
    </row>
    <row r="237" spans="2:15" x14ac:dyDescent="0.2">
      <c r="B237" s="139">
        <v>11402115</v>
      </c>
      <c r="C237" s="271" t="s">
        <v>385</v>
      </c>
      <c r="D237" s="178" t="s">
        <v>503</v>
      </c>
      <c r="E237" s="140">
        <f t="shared" si="3"/>
        <v>0</v>
      </c>
      <c r="F237" s="170"/>
      <c r="G237" s="171"/>
      <c r="H237" s="171"/>
      <c r="I237" s="171"/>
      <c r="J237" s="171"/>
      <c r="K237" s="171"/>
      <c r="L237" s="171"/>
      <c r="M237" s="171"/>
      <c r="N237" s="171"/>
      <c r="O237" s="172"/>
    </row>
    <row r="238" spans="2:15" x14ac:dyDescent="0.2">
      <c r="B238" s="139">
        <v>11402116</v>
      </c>
      <c r="C238" s="271" t="s">
        <v>386</v>
      </c>
      <c r="D238" s="178" t="s">
        <v>606</v>
      </c>
      <c r="E238" s="140">
        <f t="shared" si="3"/>
        <v>0</v>
      </c>
      <c r="F238" s="170"/>
      <c r="G238" s="171"/>
      <c r="H238" s="171"/>
      <c r="I238" s="171"/>
      <c r="J238" s="171"/>
      <c r="K238" s="171"/>
      <c r="L238" s="171"/>
      <c r="M238" s="171"/>
      <c r="N238" s="171"/>
      <c r="O238" s="172"/>
    </row>
    <row r="239" spans="2:15" x14ac:dyDescent="0.2">
      <c r="B239" s="139">
        <v>11402117</v>
      </c>
      <c r="C239" s="271" t="s">
        <v>387</v>
      </c>
      <c r="D239" s="178" t="s">
        <v>503</v>
      </c>
      <c r="E239" s="140">
        <f t="shared" si="3"/>
        <v>0</v>
      </c>
      <c r="F239" s="170"/>
      <c r="G239" s="171"/>
      <c r="H239" s="171"/>
      <c r="I239" s="171"/>
      <c r="J239" s="171"/>
      <c r="K239" s="171"/>
      <c r="L239" s="171"/>
      <c r="M239" s="171"/>
      <c r="N239" s="171"/>
      <c r="O239" s="172"/>
    </row>
    <row r="240" spans="2:15" x14ac:dyDescent="0.2">
      <c r="B240" s="139">
        <v>11402118</v>
      </c>
      <c r="C240" s="271" t="s">
        <v>388</v>
      </c>
      <c r="D240" s="178" t="s">
        <v>504</v>
      </c>
      <c r="E240" s="140">
        <f t="shared" si="3"/>
        <v>0</v>
      </c>
      <c r="F240" s="170"/>
      <c r="G240" s="171"/>
      <c r="H240" s="171"/>
      <c r="I240" s="171"/>
      <c r="J240" s="171"/>
      <c r="K240" s="171"/>
      <c r="L240" s="171"/>
      <c r="M240" s="171"/>
      <c r="N240" s="171"/>
      <c r="O240" s="172"/>
    </row>
    <row r="241" spans="2:15" x14ac:dyDescent="0.2">
      <c r="B241" s="139">
        <v>11402119</v>
      </c>
      <c r="C241" s="271" t="s">
        <v>389</v>
      </c>
      <c r="D241" s="178" t="s">
        <v>503</v>
      </c>
      <c r="E241" s="140">
        <f t="shared" si="3"/>
        <v>0</v>
      </c>
      <c r="F241" s="170"/>
      <c r="G241" s="171"/>
      <c r="H241" s="171"/>
      <c r="I241" s="171"/>
      <c r="J241" s="171"/>
      <c r="K241" s="171"/>
      <c r="L241" s="171"/>
      <c r="M241" s="171"/>
      <c r="N241" s="171"/>
      <c r="O241" s="172"/>
    </row>
    <row r="242" spans="2:15" x14ac:dyDescent="0.2">
      <c r="B242" s="139">
        <v>11402201</v>
      </c>
      <c r="C242" s="271" t="s">
        <v>393</v>
      </c>
      <c r="D242" s="178" t="s">
        <v>505</v>
      </c>
      <c r="E242" s="140">
        <f t="shared" si="3"/>
        <v>0</v>
      </c>
      <c r="F242" s="170"/>
      <c r="G242" s="171"/>
      <c r="H242" s="171"/>
      <c r="I242" s="171"/>
      <c r="J242" s="171"/>
      <c r="K242" s="171"/>
      <c r="L242" s="171"/>
      <c r="M242" s="171"/>
      <c r="N242" s="171"/>
      <c r="O242" s="172"/>
    </row>
    <row r="243" spans="2:15" x14ac:dyDescent="0.2">
      <c r="B243" s="139">
        <v>11402202</v>
      </c>
      <c r="C243" s="271" t="s">
        <v>203</v>
      </c>
      <c r="D243" s="178" t="s">
        <v>505</v>
      </c>
      <c r="E243" s="140">
        <f t="shared" si="3"/>
        <v>0</v>
      </c>
      <c r="F243" s="170"/>
      <c r="G243" s="171"/>
      <c r="H243" s="171"/>
      <c r="I243" s="171"/>
      <c r="J243" s="171"/>
      <c r="K243" s="171"/>
      <c r="L243" s="171"/>
      <c r="M243" s="171"/>
      <c r="N243" s="171"/>
      <c r="O243" s="172"/>
    </row>
    <row r="244" spans="2:15" x14ac:dyDescent="0.2">
      <c r="B244" s="139">
        <v>11402203</v>
      </c>
      <c r="C244" s="271" t="s">
        <v>237</v>
      </c>
      <c r="D244" s="178" t="s">
        <v>503</v>
      </c>
      <c r="E244" s="140">
        <f t="shared" si="3"/>
        <v>0</v>
      </c>
      <c r="F244" s="170"/>
      <c r="G244" s="171"/>
      <c r="H244" s="171"/>
      <c r="I244" s="171"/>
      <c r="J244" s="171"/>
      <c r="K244" s="171"/>
      <c r="L244" s="171"/>
      <c r="M244" s="171"/>
      <c r="N244" s="171"/>
      <c r="O244" s="172"/>
    </row>
    <row r="245" spans="2:15" x14ac:dyDescent="0.2">
      <c r="B245" s="139">
        <v>11402204</v>
      </c>
      <c r="C245" s="271" t="s">
        <v>98</v>
      </c>
      <c r="D245" s="178" t="s">
        <v>505</v>
      </c>
      <c r="E245" s="140">
        <f t="shared" si="3"/>
        <v>0</v>
      </c>
      <c r="F245" s="170"/>
      <c r="G245" s="171"/>
      <c r="H245" s="171"/>
      <c r="I245" s="171"/>
      <c r="J245" s="171"/>
      <c r="K245" s="171"/>
      <c r="L245" s="171"/>
      <c r="M245" s="171"/>
      <c r="N245" s="171"/>
      <c r="O245" s="172"/>
    </row>
    <row r="246" spans="2:15" x14ac:dyDescent="0.2">
      <c r="B246" s="139">
        <v>11402205</v>
      </c>
      <c r="C246" s="271" t="s">
        <v>394</v>
      </c>
      <c r="D246" s="178" t="s">
        <v>503</v>
      </c>
      <c r="E246" s="140">
        <f t="shared" si="3"/>
        <v>0</v>
      </c>
      <c r="F246" s="170"/>
      <c r="G246" s="171"/>
      <c r="H246" s="171"/>
      <c r="I246" s="171"/>
      <c r="J246" s="171"/>
      <c r="K246" s="171"/>
      <c r="L246" s="171"/>
      <c r="M246" s="171"/>
      <c r="N246" s="171"/>
      <c r="O246" s="172"/>
    </row>
    <row r="247" spans="2:15" x14ac:dyDescent="0.2">
      <c r="B247" s="139">
        <v>11402301</v>
      </c>
      <c r="C247" s="271" t="s">
        <v>399</v>
      </c>
      <c r="D247" s="178" t="s">
        <v>505</v>
      </c>
      <c r="E247" s="140">
        <f t="shared" si="3"/>
        <v>0</v>
      </c>
      <c r="F247" s="170"/>
      <c r="G247" s="171"/>
      <c r="H247" s="171"/>
      <c r="I247" s="171"/>
      <c r="J247" s="171"/>
      <c r="K247" s="171"/>
      <c r="L247" s="171"/>
      <c r="M247" s="171"/>
      <c r="N247" s="171"/>
      <c r="O247" s="172"/>
    </row>
    <row r="248" spans="2:15" x14ac:dyDescent="0.2">
      <c r="B248" s="139">
        <v>11402401</v>
      </c>
      <c r="C248" s="271" t="s">
        <v>402</v>
      </c>
      <c r="D248" s="178" t="s">
        <v>503</v>
      </c>
      <c r="E248" s="140">
        <f t="shared" si="3"/>
        <v>0</v>
      </c>
      <c r="F248" s="170"/>
      <c r="G248" s="171"/>
      <c r="H248" s="171"/>
      <c r="I248" s="171"/>
      <c r="J248" s="171"/>
      <c r="K248" s="171"/>
      <c r="L248" s="171"/>
      <c r="M248" s="171"/>
      <c r="N248" s="171"/>
      <c r="O248" s="172"/>
    </row>
    <row r="249" spans="2:15" x14ac:dyDescent="0.2">
      <c r="B249" s="139">
        <v>11402402</v>
      </c>
      <c r="C249" s="271" t="s">
        <v>443</v>
      </c>
      <c r="D249" s="178" t="s">
        <v>503</v>
      </c>
      <c r="E249" s="140">
        <f t="shared" si="3"/>
        <v>0</v>
      </c>
      <c r="F249" s="170"/>
      <c r="G249" s="171"/>
      <c r="H249" s="171"/>
      <c r="I249" s="171"/>
      <c r="J249" s="171"/>
      <c r="K249" s="171"/>
      <c r="L249" s="171"/>
      <c r="M249" s="171"/>
      <c r="N249" s="171"/>
      <c r="O249" s="172"/>
    </row>
    <row r="250" spans="2:15" x14ac:dyDescent="0.2">
      <c r="B250" s="139">
        <v>11402403</v>
      </c>
      <c r="C250" s="271" t="s">
        <v>403</v>
      </c>
      <c r="D250" s="178" t="s">
        <v>503</v>
      </c>
      <c r="E250" s="140">
        <f t="shared" si="3"/>
        <v>0</v>
      </c>
      <c r="F250" s="170"/>
      <c r="G250" s="171"/>
      <c r="H250" s="171"/>
      <c r="I250" s="171"/>
      <c r="J250" s="171"/>
      <c r="K250" s="171"/>
      <c r="L250" s="171"/>
      <c r="M250" s="171"/>
      <c r="N250" s="171"/>
      <c r="O250" s="172"/>
    </row>
    <row r="251" spans="2:15" x14ac:dyDescent="0.2">
      <c r="B251" s="139">
        <v>11402404</v>
      </c>
      <c r="C251" s="271" t="s">
        <v>98</v>
      </c>
      <c r="D251" s="178" t="s">
        <v>505</v>
      </c>
      <c r="E251" s="140">
        <f t="shared" si="3"/>
        <v>0</v>
      </c>
      <c r="F251" s="170"/>
      <c r="G251" s="171"/>
      <c r="H251" s="171"/>
      <c r="I251" s="171"/>
      <c r="J251" s="171"/>
      <c r="K251" s="171"/>
      <c r="L251" s="171"/>
      <c r="M251" s="171"/>
      <c r="N251" s="171"/>
      <c r="O251" s="172"/>
    </row>
    <row r="252" spans="2:15" x14ac:dyDescent="0.2">
      <c r="B252" s="139">
        <v>11402405</v>
      </c>
      <c r="C252" s="271" t="s">
        <v>404</v>
      </c>
      <c r="D252" s="178" t="s">
        <v>503</v>
      </c>
      <c r="E252" s="140">
        <f t="shared" si="3"/>
        <v>0</v>
      </c>
      <c r="F252" s="170"/>
      <c r="G252" s="171"/>
      <c r="H252" s="171"/>
      <c r="I252" s="171"/>
      <c r="J252" s="171"/>
      <c r="K252" s="171"/>
      <c r="L252" s="171"/>
      <c r="M252" s="171"/>
      <c r="N252" s="171"/>
      <c r="O252" s="172"/>
    </row>
    <row r="253" spans="2:15" x14ac:dyDescent="0.2">
      <c r="B253" s="139">
        <v>11402406</v>
      </c>
      <c r="C253" s="271" t="s">
        <v>405</v>
      </c>
      <c r="D253" s="178" t="s">
        <v>503</v>
      </c>
      <c r="E253" s="140">
        <f t="shared" si="3"/>
        <v>0</v>
      </c>
      <c r="F253" s="170"/>
      <c r="G253" s="171"/>
      <c r="H253" s="171"/>
      <c r="I253" s="171"/>
      <c r="J253" s="171"/>
      <c r="K253" s="171"/>
      <c r="L253" s="171"/>
      <c r="M253" s="171"/>
      <c r="N253" s="171"/>
      <c r="O253" s="172"/>
    </row>
    <row r="254" spans="2:15" x14ac:dyDescent="0.2">
      <c r="B254" s="139">
        <v>11402501</v>
      </c>
      <c r="C254" s="271" t="s">
        <v>203</v>
      </c>
      <c r="D254" s="178" t="s">
        <v>505</v>
      </c>
      <c r="E254" s="140">
        <f t="shared" si="3"/>
        <v>0</v>
      </c>
      <c r="F254" s="170"/>
      <c r="G254" s="171"/>
      <c r="H254" s="171"/>
      <c r="I254" s="171"/>
      <c r="J254" s="171"/>
      <c r="K254" s="171"/>
      <c r="L254" s="171"/>
      <c r="M254" s="171"/>
      <c r="N254" s="171"/>
      <c r="O254" s="172"/>
    </row>
    <row r="255" spans="2:15" x14ac:dyDescent="0.2">
      <c r="B255" s="139">
        <v>11402502</v>
      </c>
      <c r="C255" s="271" t="s">
        <v>411</v>
      </c>
      <c r="D255" s="178" t="s">
        <v>503</v>
      </c>
      <c r="E255" s="140">
        <f t="shared" si="3"/>
        <v>0</v>
      </c>
      <c r="F255" s="170"/>
      <c r="G255" s="171"/>
      <c r="H255" s="171"/>
      <c r="I255" s="171"/>
      <c r="J255" s="171"/>
      <c r="K255" s="171"/>
      <c r="L255" s="171"/>
      <c r="M255" s="171"/>
      <c r="N255" s="171"/>
      <c r="O255" s="172"/>
    </row>
    <row r="256" spans="2:15" x14ac:dyDescent="0.2">
      <c r="B256" s="139">
        <v>11402503</v>
      </c>
      <c r="C256" s="271" t="s">
        <v>98</v>
      </c>
      <c r="D256" s="178" t="s">
        <v>505</v>
      </c>
      <c r="E256" s="140">
        <f t="shared" si="3"/>
        <v>0</v>
      </c>
      <c r="F256" s="170"/>
      <c r="G256" s="171"/>
      <c r="H256" s="171"/>
      <c r="I256" s="171"/>
      <c r="J256" s="171"/>
      <c r="K256" s="171"/>
      <c r="L256" s="171"/>
      <c r="M256" s="171"/>
      <c r="N256" s="171"/>
      <c r="O256" s="172"/>
    </row>
    <row r="257" spans="2:15" x14ac:dyDescent="0.2">
      <c r="B257" s="139">
        <v>11402504</v>
      </c>
      <c r="C257" s="271" t="s">
        <v>412</v>
      </c>
      <c r="D257" s="178" t="s">
        <v>505</v>
      </c>
      <c r="E257" s="140">
        <f t="shared" si="3"/>
        <v>0</v>
      </c>
      <c r="F257" s="170"/>
      <c r="G257" s="171"/>
      <c r="H257" s="171"/>
      <c r="I257" s="171"/>
      <c r="J257" s="171"/>
      <c r="K257" s="171"/>
      <c r="L257" s="171"/>
      <c r="M257" s="171"/>
      <c r="N257" s="171"/>
      <c r="O257" s="172"/>
    </row>
    <row r="258" spans="2:15" x14ac:dyDescent="0.2">
      <c r="B258" s="139">
        <v>11402505</v>
      </c>
      <c r="C258" s="271" t="s">
        <v>413</v>
      </c>
      <c r="D258" s="178" t="s">
        <v>503</v>
      </c>
      <c r="E258" s="140">
        <f t="shared" si="3"/>
        <v>0</v>
      </c>
      <c r="F258" s="170"/>
      <c r="G258" s="171"/>
      <c r="H258" s="171"/>
      <c r="I258" s="171"/>
      <c r="J258" s="171"/>
      <c r="K258" s="171"/>
      <c r="L258" s="171"/>
      <c r="M258" s="171"/>
      <c r="N258" s="171"/>
      <c r="O258" s="172"/>
    </row>
    <row r="259" spans="2:15" x14ac:dyDescent="0.2">
      <c r="B259" s="141">
        <v>11402601</v>
      </c>
      <c r="C259" s="271" t="s">
        <v>420</v>
      </c>
      <c r="D259" s="178" t="s">
        <v>505</v>
      </c>
      <c r="E259" s="140">
        <f t="shared" si="3"/>
        <v>0</v>
      </c>
      <c r="F259" s="170"/>
      <c r="G259" s="171"/>
      <c r="H259" s="171"/>
      <c r="I259" s="171"/>
      <c r="J259" s="171"/>
      <c r="K259" s="171"/>
      <c r="L259" s="171"/>
      <c r="M259" s="171"/>
      <c r="N259" s="171"/>
      <c r="O259" s="172"/>
    </row>
    <row r="260" spans="2:15" x14ac:dyDescent="0.2">
      <c r="B260" s="141">
        <v>11402602</v>
      </c>
      <c r="C260" s="271" t="s">
        <v>421</v>
      </c>
      <c r="D260" s="178" t="s">
        <v>505</v>
      </c>
      <c r="E260" s="140">
        <f t="shared" si="3"/>
        <v>0</v>
      </c>
      <c r="F260" s="170"/>
      <c r="G260" s="171"/>
      <c r="H260" s="171"/>
      <c r="I260" s="171"/>
      <c r="J260" s="171"/>
      <c r="K260" s="171"/>
      <c r="L260" s="171"/>
      <c r="M260" s="171"/>
      <c r="N260" s="171"/>
      <c r="O260" s="172"/>
    </row>
    <row r="261" spans="2:15" x14ac:dyDescent="0.2">
      <c r="B261" s="139">
        <v>11500101</v>
      </c>
      <c r="C261" s="271" t="s">
        <v>425</v>
      </c>
      <c r="D261" s="178" t="s">
        <v>504</v>
      </c>
      <c r="E261" s="140">
        <f t="shared" ref="E261:E324" si="4">IF(ISERROR(AVERAGE(F261:O261)),0,AVERAGE(F261:O261))</f>
        <v>0</v>
      </c>
      <c r="F261" s="170"/>
      <c r="G261" s="171"/>
      <c r="H261" s="171"/>
      <c r="I261" s="171"/>
      <c r="J261" s="171"/>
      <c r="K261" s="171"/>
      <c r="L261" s="171"/>
      <c r="M261" s="171"/>
      <c r="N261" s="171"/>
      <c r="O261" s="172"/>
    </row>
    <row r="262" spans="2:15" x14ac:dyDescent="0.2">
      <c r="B262" s="139">
        <v>11500201</v>
      </c>
      <c r="C262" s="271" t="s">
        <v>488</v>
      </c>
      <c r="D262" s="178" t="s">
        <v>504</v>
      </c>
      <c r="E262" s="140">
        <f t="shared" si="4"/>
        <v>0</v>
      </c>
      <c r="F262" s="170"/>
      <c r="G262" s="171"/>
      <c r="H262" s="171"/>
      <c r="I262" s="171"/>
      <c r="J262" s="171"/>
      <c r="K262" s="171"/>
      <c r="L262" s="171"/>
      <c r="M262" s="171"/>
      <c r="N262" s="171"/>
      <c r="O262" s="172"/>
    </row>
    <row r="263" spans="2:15" x14ac:dyDescent="0.2">
      <c r="B263" s="139">
        <v>11500301</v>
      </c>
      <c r="C263" s="271" t="s">
        <v>436</v>
      </c>
      <c r="D263" s="178" t="s">
        <v>505</v>
      </c>
      <c r="E263" s="140">
        <f t="shared" si="4"/>
        <v>0</v>
      </c>
      <c r="F263" s="170"/>
      <c r="G263" s="171"/>
      <c r="H263" s="171"/>
      <c r="I263" s="171"/>
      <c r="J263" s="171"/>
      <c r="K263" s="171"/>
      <c r="L263" s="171"/>
      <c r="M263" s="171"/>
      <c r="N263" s="171"/>
      <c r="O263" s="172"/>
    </row>
    <row r="264" spans="2:15" x14ac:dyDescent="0.2">
      <c r="B264" s="139">
        <v>11500302</v>
      </c>
      <c r="C264" s="271" t="s">
        <v>437</v>
      </c>
      <c r="D264" s="178" t="s">
        <v>505</v>
      </c>
      <c r="E264" s="140">
        <f t="shared" si="4"/>
        <v>0</v>
      </c>
      <c r="F264" s="170"/>
      <c r="G264" s="171"/>
      <c r="H264" s="171"/>
      <c r="I264" s="171"/>
      <c r="J264" s="171"/>
      <c r="K264" s="171"/>
      <c r="L264" s="171"/>
      <c r="M264" s="171"/>
      <c r="N264" s="171"/>
      <c r="O264" s="172"/>
    </row>
    <row r="265" spans="2:15" x14ac:dyDescent="0.2">
      <c r="B265" s="139">
        <v>11500303</v>
      </c>
      <c r="C265" s="271" t="s">
        <v>438</v>
      </c>
      <c r="D265" s="178" t="s">
        <v>503</v>
      </c>
      <c r="E265" s="140">
        <f t="shared" si="4"/>
        <v>0</v>
      </c>
      <c r="F265" s="170"/>
      <c r="G265" s="171"/>
      <c r="H265" s="171"/>
      <c r="I265" s="171"/>
      <c r="J265" s="171"/>
      <c r="K265" s="171"/>
      <c r="L265" s="171"/>
      <c r="M265" s="171"/>
      <c r="N265" s="171"/>
      <c r="O265" s="172"/>
    </row>
    <row r="266" spans="2:15" x14ac:dyDescent="0.2">
      <c r="B266" s="139">
        <v>11500304</v>
      </c>
      <c r="C266" s="271" t="s">
        <v>508</v>
      </c>
      <c r="D266" s="178" t="s">
        <v>503</v>
      </c>
      <c r="E266" s="140">
        <f t="shared" si="4"/>
        <v>0</v>
      </c>
      <c r="F266" s="170"/>
      <c r="G266" s="171"/>
      <c r="H266" s="171"/>
      <c r="I266" s="171"/>
      <c r="J266" s="171"/>
      <c r="K266" s="171"/>
      <c r="L266" s="171"/>
      <c r="M266" s="171"/>
      <c r="N266" s="171"/>
      <c r="O266" s="172"/>
    </row>
    <row r="267" spans="2:15" x14ac:dyDescent="0.2">
      <c r="B267" s="139">
        <v>11500305</v>
      </c>
      <c r="C267" s="271" t="s">
        <v>439</v>
      </c>
      <c r="D267" s="178" t="s">
        <v>503</v>
      </c>
      <c r="E267" s="140">
        <f t="shared" si="4"/>
        <v>0</v>
      </c>
      <c r="F267" s="170"/>
      <c r="G267" s="171"/>
      <c r="H267" s="171"/>
      <c r="I267" s="171"/>
      <c r="J267" s="171"/>
      <c r="K267" s="171"/>
      <c r="L267" s="171"/>
      <c r="M267" s="171"/>
      <c r="N267" s="171"/>
      <c r="O267" s="172"/>
    </row>
    <row r="268" spans="2:15" x14ac:dyDescent="0.2">
      <c r="B268" s="139">
        <v>11500306</v>
      </c>
      <c r="C268" s="271" t="s">
        <v>440</v>
      </c>
      <c r="D268" s="178" t="s">
        <v>503</v>
      </c>
      <c r="E268" s="140">
        <f t="shared" si="4"/>
        <v>0</v>
      </c>
      <c r="F268" s="170"/>
      <c r="G268" s="171"/>
      <c r="H268" s="171"/>
      <c r="I268" s="171"/>
      <c r="J268" s="171"/>
      <c r="K268" s="171"/>
      <c r="L268" s="171"/>
      <c r="M268" s="171"/>
      <c r="N268" s="171"/>
      <c r="O268" s="172"/>
    </row>
    <row r="269" spans="2:15" x14ac:dyDescent="0.2">
      <c r="B269" s="139">
        <v>11500307</v>
      </c>
      <c r="C269" s="271" t="s">
        <v>441</v>
      </c>
      <c r="D269" s="178" t="s">
        <v>503</v>
      </c>
      <c r="E269" s="140">
        <f t="shared" si="4"/>
        <v>0</v>
      </c>
      <c r="F269" s="170"/>
      <c r="G269" s="171"/>
      <c r="H269" s="171"/>
      <c r="I269" s="171"/>
      <c r="J269" s="171"/>
      <c r="K269" s="171"/>
      <c r="L269" s="171"/>
      <c r="M269" s="171"/>
      <c r="N269" s="171"/>
      <c r="O269" s="172"/>
    </row>
    <row r="270" spans="2:15" x14ac:dyDescent="0.2">
      <c r="B270" s="139">
        <v>11500308</v>
      </c>
      <c r="C270" s="271" t="s">
        <v>442</v>
      </c>
      <c r="D270" s="178" t="s">
        <v>503</v>
      </c>
      <c r="E270" s="140">
        <f t="shared" si="4"/>
        <v>0</v>
      </c>
      <c r="F270" s="170"/>
      <c r="G270" s="171"/>
      <c r="H270" s="171"/>
      <c r="I270" s="171"/>
      <c r="J270" s="171"/>
      <c r="K270" s="171"/>
      <c r="L270" s="171"/>
      <c r="M270" s="171"/>
      <c r="N270" s="171"/>
      <c r="O270" s="172"/>
    </row>
    <row r="271" spans="2:15" x14ac:dyDescent="0.2">
      <c r="B271" s="139">
        <v>11500401</v>
      </c>
      <c r="C271" s="271" t="s">
        <v>446</v>
      </c>
      <c r="D271" s="178" t="s">
        <v>503</v>
      </c>
      <c r="E271" s="140">
        <f t="shared" si="4"/>
        <v>0</v>
      </c>
      <c r="F271" s="170"/>
      <c r="G271" s="171"/>
      <c r="H271" s="171"/>
      <c r="I271" s="171"/>
      <c r="J271" s="171"/>
      <c r="K271" s="171"/>
      <c r="L271" s="171"/>
      <c r="M271" s="171"/>
      <c r="N271" s="171"/>
      <c r="O271" s="172"/>
    </row>
    <row r="272" spans="2:15" x14ac:dyDescent="0.2">
      <c r="B272" s="139">
        <v>11500402</v>
      </c>
      <c r="C272" s="271" t="s">
        <v>447</v>
      </c>
      <c r="D272" s="178" t="s">
        <v>503</v>
      </c>
      <c r="E272" s="140">
        <f t="shared" si="4"/>
        <v>0</v>
      </c>
      <c r="F272" s="170"/>
      <c r="G272" s="171"/>
      <c r="H272" s="171"/>
      <c r="I272" s="171"/>
      <c r="J272" s="171"/>
      <c r="K272" s="171"/>
      <c r="L272" s="171"/>
      <c r="M272" s="171"/>
      <c r="N272" s="171"/>
      <c r="O272" s="172"/>
    </row>
    <row r="273" spans="2:15" x14ac:dyDescent="0.2">
      <c r="B273" s="139">
        <v>11500403</v>
      </c>
      <c r="C273" s="271" t="s">
        <v>448</v>
      </c>
      <c r="D273" s="178" t="s">
        <v>503</v>
      </c>
      <c r="E273" s="140">
        <f t="shared" si="4"/>
        <v>0</v>
      </c>
      <c r="F273" s="170"/>
      <c r="G273" s="171"/>
      <c r="H273" s="171"/>
      <c r="I273" s="171"/>
      <c r="J273" s="171"/>
      <c r="K273" s="171"/>
      <c r="L273" s="171"/>
      <c r="M273" s="171"/>
      <c r="N273" s="171"/>
      <c r="O273" s="172"/>
    </row>
    <row r="274" spans="2:15" x14ac:dyDescent="0.2">
      <c r="B274" s="139">
        <v>11500404</v>
      </c>
      <c r="C274" s="271" t="s">
        <v>449</v>
      </c>
      <c r="D274" s="178" t="s">
        <v>503</v>
      </c>
      <c r="E274" s="140">
        <f t="shared" si="4"/>
        <v>0</v>
      </c>
      <c r="F274" s="170"/>
      <c r="G274" s="171"/>
      <c r="H274" s="171"/>
      <c r="I274" s="171"/>
      <c r="J274" s="171"/>
      <c r="K274" s="171"/>
      <c r="L274" s="171"/>
      <c r="M274" s="171"/>
      <c r="N274" s="171"/>
      <c r="O274" s="172"/>
    </row>
    <row r="275" spans="2:15" x14ac:dyDescent="0.2">
      <c r="B275" s="139">
        <v>11500405</v>
      </c>
      <c r="C275" s="271" t="s">
        <v>450</v>
      </c>
      <c r="D275" s="178" t="s">
        <v>503</v>
      </c>
      <c r="E275" s="140">
        <f t="shared" si="4"/>
        <v>0</v>
      </c>
      <c r="F275" s="170"/>
      <c r="G275" s="171"/>
      <c r="H275" s="171"/>
      <c r="I275" s="171"/>
      <c r="J275" s="171"/>
      <c r="K275" s="171"/>
      <c r="L275" s="171"/>
      <c r="M275" s="171"/>
      <c r="N275" s="171"/>
      <c r="O275" s="172"/>
    </row>
    <row r="276" spans="2:15" x14ac:dyDescent="0.2">
      <c r="B276" s="139">
        <v>11500406</v>
      </c>
      <c r="C276" s="271" t="s">
        <v>451</v>
      </c>
      <c r="D276" s="178" t="s">
        <v>505</v>
      </c>
      <c r="E276" s="140">
        <f t="shared" si="4"/>
        <v>0</v>
      </c>
      <c r="F276" s="170"/>
      <c r="G276" s="171"/>
      <c r="H276" s="171"/>
      <c r="I276" s="171"/>
      <c r="J276" s="171"/>
      <c r="K276" s="171"/>
      <c r="L276" s="171"/>
      <c r="M276" s="171"/>
      <c r="N276" s="171"/>
      <c r="O276" s="172"/>
    </row>
    <row r="277" spans="2:15" x14ac:dyDescent="0.2">
      <c r="B277" s="139">
        <v>11500501</v>
      </c>
      <c r="C277" s="271" t="s">
        <v>454</v>
      </c>
      <c r="D277" s="178" t="s">
        <v>529</v>
      </c>
      <c r="E277" s="140">
        <f t="shared" si="4"/>
        <v>0</v>
      </c>
      <c r="F277" s="170"/>
      <c r="G277" s="171"/>
      <c r="H277" s="171"/>
      <c r="I277" s="171"/>
      <c r="J277" s="171"/>
      <c r="K277" s="171"/>
      <c r="L277" s="171"/>
      <c r="M277" s="171"/>
      <c r="N277" s="171"/>
      <c r="O277" s="172"/>
    </row>
    <row r="278" spans="2:15" x14ac:dyDescent="0.2">
      <c r="B278" s="139">
        <v>11500502</v>
      </c>
      <c r="C278" s="271" t="s">
        <v>455</v>
      </c>
      <c r="D278" s="178" t="s">
        <v>529</v>
      </c>
      <c r="E278" s="140">
        <f t="shared" si="4"/>
        <v>0</v>
      </c>
      <c r="F278" s="170"/>
      <c r="G278" s="171"/>
      <c r="H278" s="171"/>
      <c r="I278" s="171"/>
      <c r="J278" s="171"/>
      <c r="K278" s="171"/>
      <c r="L278" s="171"/>
      <c r="M278" s="171"/>
      <c r="N278" s="171"/>
      <c r="O278" s="172"/>
    </row>
    <row r="279" spans="2:15" x14ac:dyDescent="0.2">
      <c r="B279" s="139">
        <v>11500503</v>
      </c>
      <c r="C279" s="271" t="s">
        <v>456</v>
      </c>
      <c r="D279" s="178" t="s">
        <v>503</v>
      </c>
      <c r="E279" s="140">
        <f t="shared" si="4"/>
        <v>0</v>
      </c>
      <c r="F279" s="170"/>
      <c r="G279" s="171"/>
      <c r="H279" s="171"/>
      <c r="I279" s="171"/>
      <c r="J279" s="171"/>
      <c r="K279" s="171"/>
      <c r="L279" s="171"/>
      <c r="M279" s="171"/>
      <c r="N279" s="171"/>
      <c r="O279" s="172"/>
    </row>
    <row r="280" spans="2:15" x14ac:dyDescent="0.2">
      <c r="B280" s="139">
        <v>11500601</v>
      </c>
      <c r="C280" s="271" t="s">
        <v>462</v>
      </c>
      <c r="D280" s="178" t="s">
        <v>529</v>
      </c>
      <c r="E280" s="140">
        <f t="shared" si="4"/>
        <v>0</v>
      </c>
      <c r="F280" s="170"/>
      <c r="G280" s="171"/>
      <c r="H280" s="171"/>
      <c r="I280" s="171"/>
      <c r="J280" s="171"/>
      <c r="K280" s="171"/>
      <c r="L280" s="171"/>
      <c r="M280" s="171"/>
      <c r="N280" s="171"/>
      <c r="O280" s="172"/>
    </row>
    <row r="281" spans="2:15" x14ac:dyDescent="0.2">
      <c r="B281" s="141">
        <v>11600101</v>
      </c>
      <c r="C281" s="271" t="s">
        <v>468</v>
      </c>
      <c r="D281" s="178" t="s">
        <v>507</v>
      </c>
      <c r="E281" s="140">
        <f t="shared" si="4"/>
        <v>0</v>
      </c>
      <c r="F281" s="170"/>
      <c r="G281" s="171"/>
      <c r="H281" s="171"/>
      <c r="I281" s="171"/>
      <c r="J281" s="171"/>
      <c r="K281" s="171"/>
      <c r="L281" s="171"/>
      <c r="M281" s="171"/>
      <c r="N281" s="171"/>
      <c r="O281" s="172"/>
    </row>
    <row r="282" spans="2:15" x14ac:dyDescent="0.2">
      <c r="B282" s="141">
        <v>11600102</v>
      </c>
      <c r="C282" s="271" t="s">
        <v>469</v>
      </c>
      <c r="D282" s="178" t="s">
        <v>505</v>
      </c>
      <c r="E282" s="140">
        <f t="shared" si="4"/>
        <v>0</v>
      </c>
      <c r="F282" s="170"/>
      <c r="G282" s="171"/>
      <c r="H282" s="171"/>
      <c r="I282" s="171"/>
      <c r="J282" s="171"/>
      <c r="K282" s="171"/>
      <c r="L282" s="171"/>
      <c r="M282" s="171"/>
      <c r="N282" s="171"/>
      <c r="O282" s="172"/>
    </row>
    <row r="283" spans="2:15" x14ac:dyDescent="0.2">
      <c r="B283" s="176">
        <v>1</v>
      </c>
      <c r="C283" s="177"/>
      <c r="D283" s="178"/>
      <c r="E283" s="140">
        <f t="shared" si="4"/>
        <v>0</v>
      </c>
      <c r="F283" s="170"/>
      <c r="G283" s="171"/>
      <c r="H283" s="171"/>
      <c r="I283" s="171"/>
      <c r="J283" s="171"/>
      <c r="K283" s="171"/>
      <c r="L283" s="171"/>
      <c r="M283" s="171"/>
      <c r="N283" s="171"/>
      <c r="O283" s="172"/>
    </row>
    <row r="284" spans="2:15" x14ac:dyDescent="0.2">
      <c r="B284" s="176"/>
      <c r="C284" s="177"/>
      <c r="D284" s="178"/>
      <c r="E284" s="140">
        <f t="shared" si="4"/>
        <v>0</v>
      </c>
      <c r="F284" s="170"/>
      <c r="G284" s="171"/>
      <c r="H284" s="171"/>
      <c r="I284" s="171"/>
      <c r="J284" s="171"/>
      <c r="K284" s="171"/>
      <c r="L284" s="171"/>
      <c r="M284" s="171"/>
      <c r="N284" s="171"/>
      <c r="O284" s="172"/>
    </row>
    <row r="285" spans="2:15" x14ac:dyDescent="0.2">
      <c r="B285" s="176"/>
      <c r="C285" s="177"/>
      <c r="D285" s="178"/>
      <c r="E285" s="140">
        <f t="shared" si="4"/>
        <v>0</v>
      </c>
      <c r="F285" s="170"/>
      <c r="G285" s="171"/>
      <c r="H285" s="171"/>
      <c r="I285" s="171"/>
      <c r="J285" s="171"/>
      <c r="K285" s="171"/>
      <c r="L285" s="171"/>
      <c r="M285" s="171"/>
      <c r="N285" s="171"/>
      <c r="O285" s="172"/>
    </row>
    <row r="286" spans="2:15" x14ac:dyDescent="0.2">
      <c r="B286" s="176"/>
      <c r="C286" s="177"/>
      <c r="D286" s="178"/>
      <c r="E286" s="140">
        <f t="shared" si="4"/>
        <v>0</v>
      </c>
      <c r="F286" s="170"/>
      <c r="G286" s="171"/>
      <c r="H286" s="171"/>
      <c r="I286" s="171"/>
      <c r="J286" s="171"/>
      <c r="K286" s="171"/>
      <c r="L286" s="171"/>
      <c r="M286" s="171"/>
      <c r="N286" s="171"/>
      <c r="O286" s="172"/>
    </row>
    <row r="287" spans="2:15" x14ac:dyDescent="0.2">
      <c r="B287" s="176"/>
      <c r="C287" s="177"/>
      <c r="D287" s="178"/>
      <c r="E287" s="140">
        <f t="shared" si="4"/>
        <v>0</v>
      </c>
      <c r="F287" s="170"/>
      <c r="G287" s="171"/>
      <c r="H287" s="171"/>
      <c r="I287" s="171"/>
      <c r="J287" s="171"/>
      <c r="K287" s="171"/>
      <c r="L287" s="171"/>
      <c r="M287" s="171"/>
      <c r="N287" s="171"/>
      <c r="O287" s="172"/>
    </row>
    <row r="288" spans="2:15" x14ac:dyDescent="0.2">
      <c r="B288" s="176"/>
      <c r="C288" s="177"/>
      <c r="D288" s="178"/>
      <c r="E288" s="140">
        <f t="shared" si="4"/>
        <v>0</v>
      </c>
      <c r="F288" s="170"/>
      <c r="G288" s="171"/>
      <c r="H288" s="171"/>
      <c r="I288" s="171"/>
      <c r="J288" s="171"/>
      <c r="K288" s="171"/>
      <c r="L288" s="171"/>
      <c r="M288" s="171"/>
      <c r="N288" s="171"/>
      <c r="O288" s="172"/>
    </row>
    <row r="289" spans="2:15" x14ac:dyDescent="0.2">
      <c r="B289" s="176"/>
      <c r="C289" s="177"/>
      <c r="D289" s="178"/>
      <c r="E289" s="140">
        <f t="shared" si="4"/>
        <v>0</v>
      </c>
      <c r="F289" s="170"/>
      <c r="G289" s="171"/>
      <c r="H289" s="171"/>
      <c r="I289" s="171"/>
      <c r="J289" s="171"/>
      <c r="K289" s="171"/>
      <c r="L289" s="171"/>
      <c r="M289" s="171"/>
      <c r="N289" s="171"/>
      <c r="O289" s="172"/>
    </row>
    <row r="290" spans="2:15" x14ac:dyDescent="0.2">
      <c r="B290" s="176"/>
      <c r="C290" s="177"/>
      <c r="D290" s="178"/>
      <c r="E290" s="140">
        <f t="shared" si="4"/>
        <v>0</v>
      </c>
      <c r="F290" s="170"/>
      <c r="G290" s="171"/>
      <c r="H290" s="171"/>
      <c r="I290" s="171"/>
      <c r="J290" s="171"/>
      <c r="K290" s="171"/>
      <c r="L290" s="171"/>
      <c r="M290" s="171"/>
      <c r="N290" s="171"/>
      <c r="O290" s="172"/>
    </row>
    <row r="291" spans="2:15" x14ac:dyDescent="0.2">
      <c r="B291" s="176"/>
      <c r="C291" s="177"/>
      <c r="D291" s="178"/>
      <c r="E291" s="140">
        <f t="shared" si="4"/>
        <v>0</v>
      </c>
      <c r="F291" s="170"/>
      <c r="G291" s="171"/>
      <c r="H291" s="171"/>
      <c r="I291" s="171"/>
      <c r="J291" s="171"/>
      <c r="K291" s="171"/>
      <c r="L291" s="171"/>
      <c r="M291" s="171"/>
      <c r="N291" s="171"/>
      <c r="O291" s="172"/>
    </row>
    <row r="292" spans="2:15" x14ac:dyDescent="0.2">
      <c r="B292" s="176"/>
      <c r="C292" s="177"/>
      <c r="D292" s="178"/>
      <c r="E292" s="140">
        <f t="shared" si="4"/>
        <v>0</v>
      </c>
      <c r="F292" s="170"/>
      <c r="G292" s="171"/>
      <c r="H292" s="171"/>
      <c r="I292" s="171"/>
      <c r="J292" s="171"/>
      <c r="K292" s="171"/>
      <c r="L292" s="171"/>
      <c r="M292" s="171"/>
      <c r="N292" s="171"/>
      <c r="O292" s="172"/>
    </row>
    <row r="293" spans="2:15" x14ac:dyDescent="0.2">
      <c r="B293" s="176"/>
      <c r="C293" s="177"/>
      <c r="D293" s="178"/>
      <c r="E293" s="140">
        <f t="shared" si="4"/>
        <v>0</v>
      </c>
      <c r="F293" s="170"/>
      <c r="G293" s="171"/>
      <c r="H293" s="171"/>
      <c r="I293" s="171"/>
      <c r="J293" s="171"/>
      <c r="K293" s="171"/>
      <c r="L293" s="171"/>
      <c r="M293" s="171"/>
      <c r="N293" s="171"/>
      <c r="O293" s="172"/>
    </row>
    <row r="294" spans="2:15" x14ac:dyDescent="0.2">
      <c r="B294" s="176"/>
      <c r="C294" s="177"/>
      <c r="D294" s="178"/>
      <c r="E294" s="140">
        <f t="shared" si="4"/>
        <v>0</v>
      </c>
      <c r="F294" s="170"/>
      <c r="G294" s="171"/>
      <c r="H294" s="171"/>
      <c r="I294" s="171"/>
      <c r="J294" s="171"/>
      <c r="K294" s="171"/>
      <c r="L294" s="171"/>
      <c r="M294" s="171"/>
      <c r="N294" s="171"/>
      <c r="O294" s="172"/>
    </row>
    <row r="295" spans="2:15" x14ac:dyDescent="0.2">
      <c r="B295" s="176"/>
      <c r="C295" s="177"/>
      <c r="D295" s="178"/>
      <c r="E295" s="140">
        <f t="shared" si="4"/>
        <v>0</v>
      </c>
      <c r="F295" s="170"/>
      <c r="G295" s="171"/>
      <c r="H295" s="171"/>
      <c r="I295" s="171"/>
      <c r="J295" s="171"/>
      <c r="K295" s="171"/>
      <c r="L295" s="171"/>
      <c r="M295" s="171"/>
      <c r="N295" s="171"/>
      <c r="O295" s="172"/>
    </row>
    <row r="296" spans="2:15" x14ac:dyDescent="0.2">
      <c r="B296" s="176"/>
      <c r="C296" s="177"/>
      <c r="D296" s="178"/>
      <c r="E296" s="140">
        <f t="shared" si="4"/>
        <v>0</v>
      </c>
      <c r="F296" s="170"/>
      <c r="G296" s="171"/>
      <c r="H296" s="171"/>
      <c r="I296" s="171"/>
      <c r="J296" s="171"/>
      <c r="K296" s="171"/>
      <c r="L296" s="171"/>
      <c r="M296" s="171"/>
      <c r="N296" s="171"/>
      <c r="O296" s="172"/>
    </row>
    <row r="297" spans="2:15" x14ac:dyDescent="0.2">
      <c r="B297" s="176"/>
      <c r="C297" s="177"/>
      <c r="D297" s="178"/>
      <c r="E297" s="140">
        <f t="shared" si="4"/>
        <v>0</v>
      </c>
      <c r="F297" s="170"/>
      <c r="G297" s="171"/>
      <c r="H297" s="171"/>
      <c r="I297" s="171"/>
      <c r="J297" s="171"/>
      <c r="K297" s="171"/>
      <c r="L297" s="171"/>
      <c r="M297" s="171"/>
      <c r="N297" s="171"/>
      <c r="O297" s="172"/>
    </row>
    <row r="298" spans="2:15" x14ac:dyDescent="0.2">
      <c r="B298" s="176"/>
      <c r="C298" s="177"/>
      <c r="D298" s="178"/>
      <c r="E298" s="140">
        <f t="shared" si="4"/>
        <v>0</v>
      </c>
      <c r="F298" s="170"/>
      <c r="G298" s="171"/>
      <c r="H298" s="171"/>
      <c r="I298" s="171"/>
      <c r="J298" s="171"/>
      <c r="K298" s="171"/>
      <c r="L298" s="171"/>
      <c r="M298" s="171"/>
      <c r="N298" s="171"/>
      <c r="O298" s="172"/>
    </row>
    <row r="299" spans="2:15" x14ac:dyDescent="0.2">
      <c r="B299" s="176"/>
      <c r="C299" s="177"/>
      <c r="D299" s="178"/>
      <c r="E299" s="140">
        <f t="shared" si="4"/>
        <v>0</v>
      </c>
      <c r="F299" s="170"/>
      <c r="G299" s="171"/>
      <c r="H299" s="171"/>
      <c r="I299" s="171"/>
      <c r="J299" s="171"/>
      <c r="K299" s="171"/>
      <c r="L299" s="171"/>
      <c r="M299" s="171"/>
      <c r="N299" s="171"/>
      <c r="O299" s="172"/>
    </row>
    <row r="300" spans="2:15" x14ac:dyDescent="0.2">
      <c r="B300" s="176"/>
      <c r="C300" s="177"/>
      <c r="D300" s="178"/>
      <c r="E300" s="140">
        <f t="shared" si="4"/>
        <v>0</v>
      </c>
      <c r="F300" s="170"/>
      <c r="G300" s="171"/>
      <c r="H300" s="171"/>
      <c r="I300" s="171"/>
      <c r="J300" s="171"/>
      <c r="K300" s="171"/>
      <c r="L300" s="171"/>
      <c r="M300" s="171"/>
      <c r="N300" s="171"/>
      <c r="O300" s="172"/>
    </row>
    <row r="301" spans="2:15" x14ac:dyDescent="0.2">
      <c r="B301" s="176"/>
      <c r="C301" s="177"/>
      <c r="D301" s="178"/>
      <c r="E301" s="140">
        <f t="shared" si="4"/>
        <v>0</v>
      </c>
      <c r="F301" s="170"/>
      <c r="G301" s="171"/>
      <c r="H301" s="171"/>
      <c r="I301" s="171"/>
      <c r="J301" s="171"/>
      <c r="K301" s="171"/>
      <c r="L301" s="171"/>
      <c r="M301" s="171"/>
      <c r="N301" s="171"/>
      <c r="O301" s="172"/>
    </row>
    <row r="302" spans="2:15" x14ac:dyDescent="0.2">
      <c r="B302" s="176"/>
      <c r="C302" s="177"/>
      <c r="D302" s="178"/>
      <c r="E302" s="140">
        <f t="shared" si="4"/>
        <v>0</v>
      </c>
      <c r="F302" s="170"/>
      <c r="G302" s="171"/>
      <c r="H302" s="171"/>
      <c r="I302" s="171"/>
      <c r="J302" s="171"/>
      <c r="K302" s="171"/>
      <c r="L302" s="171"/>
      <c r="M302" s="171"/>
      <c r="N302" s="171"/>
      <c r="O302" s="172"/>
    </row>
    <row r="303" spans="2:15" x14ac:dyDescent="0.2">
      <c r="B303" s="176"/>
      <c r="C303" s="177"/>
      <c r="D303" s="178"/>
      <c r="E303" s="140">
        <f t="shared" si="4"/>
        <v>0</v>
      </c>
      <c r="F303" s="170"/>
      <c r="G303" s="171"/>
      <c r="H303" s="171"/>
      <c r="I303" s="171"/>
      <c r="J303" s="171"/>
      <c r="K303" s="171"/>
      <c r="L303" s="171"/>
      <c r="M303" s="171"/>
      <c r="N303" s="171"/>
      <c r="O303" s="172"/>
    </row>
    <row r="304" spans="2:15" x14ac:dyDescent="0.2">
      <c r="B304" s="176"/>
      <c r="C304" s="177"/>
      <c r="D304" s="178"/>
      <c r="E304" s="140">
        <f t="shared" si="4"/>
        <v>0</v>
      </c>
      <c r="F304" s="170"/>
      <c r="G304" s="171"/>
      <c r="H304" s="171"/>
      <c r="I304" s="171"/>
      <c r="J304" s="171"/>
      <c r="K304" s="171"/>
      <c r="L304" s="171"/>
      <c r="M304" s="171"/>
      <c r="N304" s="171"/>
      <c r="O304" s="172"/>
    </row>
    <row r="305" spans="2:15" x14ac:dyDescent="0.2">
      <c r="B305" s="176"/>
      <c r="C305" s="177"/>
      <c r="D305" s="178"/>
      <c r="E305" s="140">
        <f t="shared" si="4"/>
        <v>0</v>
      </c>
      <c r="F305" s="170"/>
      <c r="G305" s="171"/>
      <c r="H305" s="171"/>
      <c r="I305" s="171"/>
      <c r="J305" s="171"/>
      <c r="K305" s="171"/>
      <c r="L305" s="171"/>
      <c r="M305" s="171"/>
      <c r="N305" s="171"/>
      <c r="O305" s="172"/>
    </row>
    <row r="306" spans="2:15" x14ac:dyDescent="0.2">
      <c r="B306" s="176"/>
      <c r="C306" s="177"/>
      <c r="D306" s="178"/>
      <c r="E306" s="140">
        <f t="shared" si="4"/>
        <v>0</v>
      </c>
      <c r="F306" s="170"/>
      <c r="G306" s="171"/>
      <c r="H306" s="171"/>
      <c r="I306" s="171"/>
      <c r="J306" s="171"/>
      <c r="K306" s="171"/>
      <c r="L306" s="171"/>
      <c r="M306" s="171"/>
      <c r="N306" s="171"/>
      <c r="O306" s="172"/>
    </row>
    <row r="307" spans="2:15" x14ac:dyDescent="0.2">
      <c r="B307" s="176"/>
      <c r="C307" s="177"/>
      <c r="D307" s="178"/>
      <c r="E307" s="140">
        <f t="shared" si="4"/>
        <v>0</v>
      </c>
      <c r="F307" s="170"/>
      <c r="G307" s="171"/>
      <c r="H307" s="171"/>
      <c r="I307" s="171"/>
      <c r="J307" s="171"/>
      <c r="K307" s="171"/>
      <c r="L307" s="171"/>
      <c r="M307" s="171"/>
      <c r="N307" s="171"/>
      <c r="O307" s="172"/>
    </row>
    <row r="308" spans="2:15" x14ac:dyDescent="0.2">
      <c r="B308" s="176"/>
      <c r="C308" s="177"/>
      <c r="D308" s="178"/>
      <c r="E308" s="140">
        <f t="shared" si="4"/>
        <v>0</v>
      </c>
      <c r="F308" s="170"/>
      <c r="G308" s="171"/>
      <c r="H308" s="171"/>
      <c r="I308" s="171"/>
      <c r="J308" s="171"/>
      <c r="K308" s="171"/>
      <c r="L308" s="171"/>
      <c r="M308" s="171"/>
      <c r="N308" s="171"/>
      <c r="O308" s="172"/>
    </row>
    <row r="309" spans="2:15" x14ac:dyDescent="0.2">
      <c r="B309" s="176"/>
      <c r="C309" s="177"/>
      <c r="D309" s="178"/>
      <c r="E309" s="140">
        <f t="shared" si="4"/>
        <v>0</v>
      </c>
      <c r="F309" s="170"/>
      <c r="G309" s="171"/>
      <c r="H309" s="171"/>
      <c r="I309" s="171"/>
      <c r="J309" s="171"/>
      <c r="K309" s="171"/>
      <c r="L309" s="171"/>
      <c r="M309" s="171"/>
      <c r="N309" s="171"/>
      <c r="O309" s="172"/>
    </row>
    <row r="310" spans="2:15" x14ac:dyDescent="0.2">
      <c r="B310" s="176"/>
      <c r="C310" s="177"/>
      <c r="D310" s="178"/>
      <c r="E310" s="140">
        <f t="shared" si="4"/>
        <v>0</v>
      </c>
      <c r="F310" s="170"/>
      <c r="G310" s="171"/>
      <c r="H310" s="171"/>
      <c r="I310" s="171"/>
      <c r="J310" s="171"/>
      <c r="K310" s="171"/>
      <c r="L310" s="171"/>
      <c r="M310" s="171"/>
      <c r="N310" s="171"/>
      <c r="O310" s="172"/>
    </row>
    <row r="311" spans="2:15" x14ac:dyDescent="0.2">
      <c r="B311" s="176"/>
      <c r="C311" s="177"/>
      <c r="D311" s="178"/>
      <c r="E311" s="140">
        <f t="shared" si="4"/>
        <v>0</v>
      </c>
      <c r="F311" s="170"/>
      <c r="G311" s="171"/>
      <c r="H311" s="171"/>
      <c r="I311" s="171"/>
      <c r="J311" s="171"/>
      <c r="K311" s="171"/>
      <c r="L311" s="171"/>
      <c r="M311" s="171"/>
      <c r="N311" s="171"/>
      <c r="O311" s="172"/>
    </row>
    <row r="312" spans="2:15" x14ac:dyDescent="0.2">
      <c r="B312" s="176"/>
      <c r="C312" s="177"/>
      <c r="D312" s="178"/>
      <c r="E312" s="140">
        <f t="shared" si="4"/>
        <v>0</v>
      </c>
      <c r="F312" s="170"/>
      <c r="G312" s="171"/>
      <c r="H312" s="171"/>
      <c r="I312" s="171"/>
      <c r="J312" s="171"/>
      <c r="K312" s="171"/>
      <c r="L312" s="171"/>
      <c r="M312" s="171"/>
      <c r="N312" s="171"/>
      <c r="O312" s="172"/>
    </row>
    <row r="313" spans="2:15" x14ac:dyDescent="0.2">
      <c r="B313" s="176"/>
      <c r="C313" s="177"/>
      <c r="D313" s="178"/>
      <c r="E313" s="140">
        <f t="shared" si="4"/>
        <v>0</v>
      </c>
      <c r="F313" s="170"/>
      <c r="G313" s="171"/>
      <c r="H313" s="171"/>
      <c r="I313" s="171"/>
      <c r="J313" s="171"/>
      <c r="K313" s="171"/>
      <c r="L313" s="171"/>
      <c r="M313" s="171"/>
      <c r="N313" s="171"/>
      <c r="O313" s="172"/>
    </row>
    <row r="314" spans="2:15" x14ac:dyDescent="0.2">
      <c r="B314" s="176"/>
      <c r="C314" s="177"/>
      <c r="D314" s="178"/>
      <c r="E314" s="140">
        <f t="shared" si="4"/>
        <v>0</v>
      </c>
      <c r="F314" s="170"/>
      <c r="G314" s="171"/>
      <c r="H314" s="171"/>
      <c r="I314" s="171"/>
      <c r="J314" s="171"/>
      <c r="K314" s="171"/>
      <c r="L314" s="171"/>
      <c r="M314" s="171"/>
      <c r="N314" s="171"/>
      <c r="O314" s="172"/>
    </row>
    <row r="315" spans="2:15" x14ac:dyDescent="0.2">
      <c r="B315" s="176"/>
      <c r="C315" s="177"/>
      <c r="D315" s="178"/>
      <c r="E315" s="140">
        <f t="shared" si="4"/>
        <v>0</v>
      </c>
      <c r="F315" s="170"/>
      <c r="G315" s="171"/>
      <c r="H315" s="171"/>
      <c r="I315" s="171"/>
      <c r="J315" s="171"/>
      <c r="K315" s="171"/>
      <c r="L315" s="171"/>
      <c r="M315" s="171"/>
      <c r="N315" s="171"/>
      <c r="O315" s="172"/>
    </row>
    <row r="316" spans="2:15" x14ac:dyDescent="0.2">
      <c r="B316" s="176"/>
      <c r="C316" s="177"/>
      <c r="D316" s="178"/>
      <c r="E316" s="140">
        <f t="shared" si="4"/>
        <v>0</v>
      </c>
      <c r="F316" s="170"/>
      <c r="G316" s="171"/>
      <c r="H316" s="171"/>
      <c r="I316" s="171"/>
      <c r="J316" s="171"/>
      <c r="K316" s="171"/>
      <c r="L316" s="171"/>
      <c r="M316" s="171"/>
      <c r="N316" s="171"/>
      <c r="O316" s="172"/>
    </row>
    <row r="317" spans="2:15" x14ac:dyDescent="0.2">
      <c r="B317" s="176"/>
      <c r="C317" s="177"/>
      <c r="D317" s="178"/>
      <c r="E317" s="140">
        <f t="shared" si="4"/>
        <v>0</v>
      </c>
      <c r="F317" s="170"/>
      <c r="G317" s="171"/>
      <c r="H317" s="171"/>
      <c r="I317" s="171"/>
      <c r="J317" s="171"/>
      <c r="K317" s="171"/>
      <c r="L317" s="171"/>
      <c r="M317" s="171"/>
      <c r="N317" s="171"/>
      <c r="O317" s="172"/>
    </row>
    <row r="318" spans="2:15" x14ac:dyDescent="0.2">
      <c r="B318" s="176"/>
      <c r="C318" s="177"/>
      <c r="D318" s="178"/>
      <c r="E318" s="140">
        <f t="shared" si="4"/>
        <v>0</v>
      </c>
      <c r="F318" s="170"/>
      <c r="G318" s="171"/>
      <c r="H318" s="171"/>
      <c r="I318" s="171"/>
      <c r="J318" s="171"/>
      <c r="K318" s="171"/>
      <c r="L318" s="171"/>
      <c r="M318" s="171"/>
      <c r="N318" s="171"/>
      <c r="O318" s="172"/>
    </row>
    <row r="319" spans="2:15" x14ac:dyDescent="0.2">
      <c r="B319" s="176"/>
      <c r="C319" s="177"/>
      <c r="D319" s="178"/>
      <c r="E319" s="140">
        <f t="shared" si="4"/>
        <v>0</v>
      </c>
      <c r="F319" s="170"/>
      <c r="G319" s="171"/>
      <c r="H319" s="171"/>
      <c r="I319" s="171"/>
      <c r="J319" s="171"/>
      <c r="K319" s="171"/>
      <c r="L319" s="171"/>
      <c r="M319" s="171"/>
      <c r="N319" s="171"/>
      <c r="O319" s="172"/>
    </row>
    <row r="320" spans="2:15" x14ac:dyDescent="0.2">
      <c r="B320" s="176"/>
      <c r="C320" s="177"/>
      <c r="D320" s="178"/>
      <c r="E320" s="140">
        <f t="shared" si="4"/>
        <v>0</v>
      </c>
      <c r="F320" s="170"/>
      <c r="G320" s="171"/>
      <c r="H320" s="171"/>
      <c r="I320" s="171"/>
      <c r="J320" s="171"/>
      <c r="K320" s="171"/>
      <c r="L320" s="171"/>
      <c r="M320" s="171"/>
      <c r="N320" s="171"/>
      <c r="O320" s="172"/>
    </row>
    <row r="321" spans="2:15" x14ac:dyDescent="0.2">
      <c r="B321" s="176"/>
      <c r="C321" s="177"/>
      <c r="D321" s="178"/>
      <c r="E321" s="140">
        <f t="shared" si="4"/>
        <v>0</v>
      </c>
      <c r="F321" s="170"/>
      <c r="G321" s="171"/>
      <c r="H321" s="171"/>
      <c r="I321" s="171"/>
      <c r="J321" s="171"/>
      <c r="K321" s="171"/>
      <c r="L321" s="171"/>
      <c r="M321" s="171"/>
      <c r="N321" s="171"/>
      <c r="O321" s="172"/>
    </row>
    <row r="322" spans="2:15" x14ac:dyDescent="0.2">
      <c r="B322" s="176"/>
      <c r="C322" s="177"/>
      <c r="D322" s="178"/>
      <c r="E322" s="140">
        <f t="shared" si="4"/>
        <v>0</v>
      </c>
      <c r="F322" s="170"/>
      <c r="G322" s="171"/>
      <c r="H322" s="171"/>
      <c r="I322" s="171"/>
      <c r="J322" s="171"/>
      <c r="K322" s="171"/>
      <c r="L322" s="171"/>
      <c r="M322" s="171"/>
      <c r="N322" s="171"/>
      <c r="O322" s="172"/>
    </row>
    <row r="323" spans="2:15" x14ac:dyDescent="0.2">
      <c r="B323" s="176"/>
      <c r="C323" s="177"/>
      <c r="D323" s="178"/>
      <c r="E323" s="140">
        <f t="shared" si="4"/>
        <v>0</v>
      </c>
      <c r="F323" s="170"/>
      <c r="G323" s="171"/>
      <c r="H323" s="171"/>
      <c r="I323" s="171"/>
      <c r="J323" s="171"/>
      <c r="K323" s="171"/>
      <c r="L323" s="171"/>
      <c r="M323" s="171"/>
      <c r="N323" s="171"/>
      <c r="O323" s="172"/>
    </row>
    <row r="324" spans="2:15" x14ac:dyDescent="0.2">
      <c r="B324" s="176"/>
      <c r="C324" s="177"/>
      <c r="D324" s="178"/>
      <c r="E324" s="140">
        <f t="shared" si="4"/>
        <v>0</v>
      </c>
      <c r="F324" s="170"/>
      <c r="G324" s="171"/>
      <c r="H324" s="171"/>
      <c r="I324" s="171"/>
      <c r="J324" s="171"/>
      <c r="K324" s="171"/>
      <c r="L324" s="171"/>
      <c r="M324" s="171"/>
      <c r="N324" s="171"/>
      <c r="O324" s="172"/>
    </row>
    <row r="325" spans="2:15" x14ac:dyDescent="0.2">
      <c r="B325" s="176"/>
      <c r="C325" s="177"/>
      <c r="D325" s="178"/>
      <c r="E325" s="140">
        <f t="shared" ref="E325:E349" si="5">IF(ISERROR(AVERAGE(F325:O325)),0,AVERAGE(F325:O325))</f>
        <v>0</v>
      </c>
      <c r="F325" s="170"/>
      <c r="G325" s="171"/>
      <c r="H325" s="171"/>
      <c r="I325" s="171"/>
      <c r="J325" s="171"/>
      <c r="K325" s="171"/>
      <c r="L325" s="171"/>
      <c r="M325" s="171"/>
      <c r="N325" s="171"/>
      <c r="O325" s="172"/>
    </row>
    <row r="326" spans="2:15" x14ac:dyDescent="0.2">
      <c r="B326" s="176"/>
      <c r="C326" s="177"/>
      <c r="D326" s="178"/>
      <c r="E326" s="140">
        <f t="shared" si="5"/>
        <v>0</v>
      </c>
      <c r="F326" s="170"/>
      <c r="G326" s="171"/>
      <c r="H326" s="171"/>
      <c r="I326" s="171"/>
      <c r="J326" s="171"/>
      <c r="K326" s="171"/>
      <c r="L326" s="171"/>
      <c r="M326" s="171"/>
      <c r="N326" s="171"/>
      <c r="O326" s="172"/>
    </row>
    <row r="327" spans="2:15" x14ac:dyDescent="0.2">
      <c r="B327" s="176"/>
      <c r="C327" s="177"/>
      <c r="D327" s="178"/>
      <c r="E327" s="140">
        <f t="shared" si="5"/>
        <v>0</v>
      </c>
      <c r="F327" s="170"/>
      <c r="G327" s="171"/>
      <c r="H327" s="171"/>
      <c r="I327" s="171"/>
      <c r="J327" s="171"/>
      <c r="K327" s="171"/>
      <c r="L327" s="171"/>
      <c r="M327" s="171"/>
      <c r="N327" s="171"/>
      <c r="O327" s="172"/>
    </row>
    <row r="328" spans="2:15" x14ac:dyDescent="0.2">
      <c r="B328" s="176"/>
      <c r="C328" s="177"/>
      <c r="D328" s="178"/>
      <c r="E328" s="140">
        <f t="shared" si="5"/>
        <v>0</v>
      </c>
      <c r="F328" s="170"/>
      <c r="G328" s="171"/>
      <c r="H328" s="171"/>
      <c r="I328" s="171"/>
      <c r="J328" s="171"/>
      <c r="K328" s="171"/>
      <c r="L328" s="171"/>
      <c r="M328" s="171"/>
      <c r="N328" s="171"/>
      <c r="O328" s="172"/>
    </row>
    <row r="329" spans="2:15" x14ac:dyDescent="0.2">
      <c r="B329" s="176"/>
      <c r="C329" s="177"/>
      <c r="D329" s="178"/>
      <c r="E329" s="140">
        <f t="shared" si="5"/>
        <v>0</v>
      </c>
      <c r="F329" s="170"/>
      <c r="G329" s="171"/>
      <c r="H329" s="171"/>
      <c r="I329" s="171"/>
      <c r="J329" s="171"/>
      <c r="K329" s="171"/>
      <c r="L329" s="171"/>
      <c r="M329" s="171"/>
      <c r="N329" s="171"/>
      <c r="O329" s="172"/>
    </row>
    <row r="330" spans="2:15" x14ac:dyDescent="0.2">
      <c r="B330" s="176"/>
      <c r="C330" s="177"/>
      <c r="D330" s="178"/>
      <c r="E330" s="140">
        <f t="shared" si="5"/>
        <v>0</v>
      </c>
      <c r="F330" s="170"/>
      <c r="G330" s="171"/>
      <c r="H330" s="171"/>
      <c r="I330" s="171"/>
      <c r="J330" s="171"/>
      <c r="K330" s="171"/>
      <c r="L330" s="171"/>
      <c r="M330" s="171"/>
      <c r="N330" s="171"/>
      <c r="O330" s="172"/>
    </row>
    <row r="331" spans="2:15" x14ac:dyDescent="0.2">
      <c r="B331" s="176"/>
      <c r="C331" s="177"/>
      <c r="D331" s="178"/>
      <c r="E331" s="140">
        <f t="shared" si="5"/>
        <v>0</v>
      </c>
      <c r="F331" s="170"/>
      <c r="G331" s="171"/>
      <c r="H331" s="171"/>
      <c r="I331" s="171"/>
      <c r="J331" s="171"/>
      <c r="K331" s="171"/>
      <c r="L331" s="171"/>
      <c r="M331" s="171"/>
      <c r="N331" s="171"/>
      <c r="O331" s="172"/>
    </row>
    <row r="332" spans="2:15" x14ac:dyDescent="0.2">
      <c r="B332" s="176"/>
      <c r="C332" s="177"/>
      <c r="D332" s="178"/>
      <c r="E332" s="140">
        <f t="shared" si="5"/>
        <v>0</v>
      </c>
      <c r="F332" s="170"/>
      <c r="G332" s="171"/>
      <c r="H332" s="171"/>
      <c r="I332" s="171"/>
      <c r="J332" s="171"/>
      <c r="K332" s="171"/>
      <c r="L332" s="171"/>
      <c r="M332" s="171"/>
      <c r="N332" s="171"/>
      <c r="O332" s="172"/>
    </row>
    <row r="333" spans="2:15" x14ac:dyDescent="0.2">
      <c r="B333" s="176"/>
      <c r="C333" s="177"/>
      <c r="D333" s="178"/>
      <c r="E333" s="140">
        <f t="shared" si="5"/>
        <v>0</v>
      </c>
      <c r="F333" s="170"/>
      <c r="G333" s="171"/>
      <c r="H333" s="171"/>
      <c r="I333" s="171"/>
      <c r="J333" s="171"/>
      <c r="K333" s="171"/>
      <c r="L333" s="171"/>
      <c r="M333" s="171"/>
      <c r="N333" s="171"/>
      <c r="O333" s="172"/>
    </row>
    <row r="334" spans="2:15" x14ac:dyDescent="0.2">
      <c r="B334" s="176"/>
      <c r="C334" s="177"/>
      <c r="D334" s="178"/>
      <c r="E334" s="140">
        <f t="shared" si="5"/>
        <v>0</v>
      </c>
      <c r="F334" s="170"/>
      <c r="G334" s="171"/>
      <c r="H334" s="171"/>
      <c r="I334" s="171"/>
      <c r="J334" s="171"/>
      <c r="K334" s="171"/>
      <c r="L334" s="171"/>
      <c r="M334" s="171"/>
      <c r="N334" s="171"/>
      <c r="O334" s="172"/>
    </row>
    <row r="335" spans="2:15" x14ac:dyDescent="0.2">
      <c r="B335" s="176"/>
      <c r="C335" s="177"/>
      <c r="D335" s="178"/>
      <c r="E335" s="140">
        <f t="shared" si="5"/>
        <v>0</v>
      </c>
      <c r="F335" s="170"/>
      <c r="G335" s="171"/>
      <c r="H335" s="171"/>
      <c r="I335" s="171"/>
      <c r="J335" s="171"/>
      <c r="K335" s="171"/>
      <c r="L335" s="171"/>
      <c r="M335" s="171"/>
      <c r="N335" s="171"/>
      <c r="O335" s="172"/>
    </row>
    <row r="336" spans="2:15" x14ac:dyDescent="0.2">
      <c r="B336" s="176"/>
      <c r="C336" s="177"/>
      <c r="D336" s="178"/>
      <c r="E336" s="140">
        <f t="shared" si="5"/>
        <v>0</v>
      </c>
      <c r="F336" s="170"/>
      <c r="G336" s="171"/>
      <c r="H336" s="171"/>
      <c r="I336" s="171"/>
      <c r="J336" s="171"/>
      <c r="K336" s="171"/>
      <c r="L336" s="171"/>
      <c r="M336" s="171"/>
      <c r="N336" s="171"/>
      <c r="O336" s="172"/>
    </row>
    <row r="337" spans="2:15" x14ac:dyDescent="0.2">
      <c r="B337" s="176"/>
      <c r="C337" s="177"/>
      <c r="D337" s="178"/>
      <c r="E337" s="140">
        <f t="shared" si="5"/>
        <v>0</v>
      </c>
      <c r="F337" s="170"/>
      <c r="G337" s="171"/>
      <c r="H337" s="171"/>
      <c r="I337" s="171"/>
      <c r="J337" s="171"/>
      <c r="K337" s="171"/>
      <c r="L337" s="171"/>
      <c r="M337" s="171"/>
      <c r="N337" s="171"/>
      <c r="O337" s="172"/>
    </row>
    <row r="338" spans="2:15" x14ac:dyDescent="0.2">
      <c r="B338" s="176"/>
      <c r="C338" s="177"/>
      <c r="D338" s="178"/>
      <c r="E338" s="140">
        <f t="shared" si="5"/>
        <v>0</v>
      </c>
      <c r="F338" s="170"/>
      <c r="G338" s="171"/>
      <c r="H338" s="171"/>
      <c r="I338" s="171"/>
      <c r="J338" s="171"/>
      <c r="K338" s="171"/>
      <c r="L338" s="171"/>
      <c r="M338" s="171"/>
      <c r="N338" s="171"/>
      <c r="O338" s="172"/>
    </row>
    <row r="339" spans="2:15" x14ac:dyDescent="0.2">
      <c r="B339" s="176"/>
      <c r="C339" s="177"/>
      <c r="D339" s="178"/>
      <c r="E339" s="140">
        <f t="shared" si="5"/>
        <v>0</v>
      </c>
      <c r="F339" s="170"/>
      <c r="G339" s="171"/>
      <c r="H339" s="171"/>
      <c r="I339" s="171"/>
      <c r="J339" s="171"/>
      <c r="K339" s="171"/>
      <c r="L339" s="171"/>
      <c r="M339" s="171"/>
      <c r="N339" s="171"/>
      <c r="O339" s="172"/>
    </row>
    <row r="340" spans="2:15" x14ac:dyDescent="0.2">
      <c r="B340" s="176"/>
      <c r="C340" s="177"/>
      <c r="D340" s="178"/>
      <c r="E340" s="140">
        <f t="shared" si="5"/>
        <v>0</v>
      </c>
      <c r="F340" s="170"/>
      <c r="G340" s="171"/>
      <c r="H340" s="171"/>
      <c r="I340" s="171"/>
      <c r="J340" s="171"/>
      <c r="K340" s="171"/>
      <c r="L340" s="171"/>
      <c r="M340" s="171"/>
      <c r="N340" s="171"/>
      <c r="O340" s="172"/>
    </row>
    <row r="341" spans="2:15" x14ac:dyDescent="0.2">
      <c r="B341" s="176"/>
      <c r="C341" s="177"/>
      <c r="D341" s="178"/>
      <c r="E341" s="140">
        <f t="shared" si="5"/>
        <v>0</v>
      </c>
      <c r="F341" s="170"/>
      <c r="G341" s="171"/>
      <c r="H341" s="171"/>
      <c r="I341" s="171"/>
      <c r="J341" s="171"/>
      <c r="K341" s="171"/>
      <c r="L341" s="171"/>
      <c r="M341" s="171"/>
      <c r="N341" s="171"/>
      <c r="O341" s="172"/>
    </row>
    <row r="342" spans="2:15" x14ac:dyDescent="0.2">
      <c r="B342" s="176"/>
      <c r="C342" s="177"/>
      <c r="D342" s="178"/>
      <c r="E342" s="140">
        <f t="shared" si="5"/>
        <v>0</v>
      </c>
      <c r="F342" s="170"/>
      <c r="G342" s="171"/>
      <c r="H342" s="171"/>
      <c r="I342" s="171"/>
      <c r="J342" s="171"/>
      <c r="K342" s="171"/>
      <c r="L342" s="171"/>
      <c r="M342" s="171"/>
      <c r="N342" s="171"/>
      <c r="O342" s="172"/>
    </row>
    <row r="343" spans="2:15" x14ac:dyDescent="0.2">
      <c r="B343" s="176"/>
      <c r="C343" s="177"/>
      <c r="D343" s="178"/>
      <c r="E343" s="140">
        <f t="shared" si="5"/>
        <v>0</v>
      </c>
      <c r="F343" s="170"/>
      <c r="G343" s="171"/>
      <c r="H343" s="171"/>
      <c r="I343" s="171"/>
      <c r="J343" s="171"/>
      <c r="K343" s="171"/>
      <c r="L343" s="171"/>
      <c r="M343" s="171"/>
      <c r="N343" s="171"/>
      <c r="O343" s="172"/>
    </row>
    <row r="344" spans="2:15" x14ac:dyDescent="0.2">
      <c r="B344" s="176"/>
      <c r="C344" s="177"/>
      <c r="D344" s="178"/>
      <c r="E344" s="140">
        <f t="shared" si="5"/>
        <v>0</v>
      </c>
      <c r="F344" s="170"/>
      <c r="G344" s="171"/>
      <c r="H344" s="171"/>
      <c r="I344" s="171"/>
      <c r="J344" s="171"/>
      <c r="K344" s="171"/>
      <c r="L344" s="171"/>
      <c r="M344" s="171"/>
      <c r="N344" s="171"/>
      <c r="O344" s="172"/>
    </row>
    <row r="345" spans="2:15" x14ac:dyDescent="0.2">
      <c r="B345" s="176"/>
      <c r="C345" s="177"/>
      <c r="D345" s="178"/>
      <c r="E345" s="140">
        <f t="shared" si="5"/>
        <v>0</v>
      </c>
      <c r="F345" s="170"/>
      <c r="G345" s="171"/>
      <c r="H345" s="171"/>
      <c r="I345" s="171"/>
      <c r="J345" s="171"/>
      <c r="K345" s="171"/>
      <c r="L345" s="171"/>
      <c r="M345" s="171"/>
      <c r="N345" s="171"/>
      <c r="O345" s="172"/>
    </row>
    <row r="346" spans="2:15" x14ac:dyDescent="0.2">
      <c r="B346" s="176"/>
      <c r="C346" s="177"/>
      <c r="D346" s="178"/>
      <c r="E346" s="140">
        <f t="shared" si="5"/>
        <v>0</v>
      </c>
      <c r="F346" s="170"/>
      <c r="G346" s="171"/>
      <c r="H346" s="171"/>
      <c r="I346" s="171"/>
      <c r="J346" s="171"/>
      <c r="K346" s="171"/>
      <c r="L346" s="171"/>
      <c r="M346" s="171"/>
      <c r="N346" s="171"/>
      <c r="O346" s="172"/>
    </row>
    <row r="347" spans="2:15" x14ac:dyDescent="0.2">
      <c r="B347" s="176"/>
      <c r="C347" s="177"/>
      <c r="D347" s="178"/>
      <c r="E347" s="140">
        <f t="shared" si="5"/>
        <v>0</v>
      </c>
      <c r="F347" s="170"/>
      <c r="G347" s="171"/>
      <c r="H347" s="171"/>
      <c r="I347" s="171"/>
      <c r="J347" s="171"/>
      <c r="K347" s="171"/>
      <c r="L347" s="171"/>
      <c r="M347" s="171"/>
      <c r="N347" s="171"/>
      <c r="O347" s="172"/>
    </row>
    <row r="348" spans="2:15" x14ac:dyDescent="0.2">
      <c r="B348" s="176"/>
      <c r="C348" s="177"/>
      <c r="D348" s="178"/>
      <c r="E348" s="140">
        <f t="shared" si="5"/>
        <v>0</v>
      </c>
      <c r="F348" s="170"/>
      <c r="G348" s="171"/>
      <c r="H348" s="171"/>
      <c r="I348" s="171"/>
      <c r="J348" s="171"/>
      <c r="K348" s="171"/>
      <c r="L348" s="171"/>
      <c r="M348" s="171"/>
      <c r="N348" s="171"/>
      <c r="O348" s="172"/>
    </row>
    <row r="349" spans="2:15" x14ac:dyDescent="0.2">
      <c r="B349" s="176"/>
      <c r="C349" s="177"/>
      <c r="D349" s="178"/>
      <c r="E349" s="140">
        <f t="shared" si="5"/>
        <v>0</v>
      </c>
      <c r="F349" s="170"/>
      <c r="G349" s="171"/>
      <c r="H349" s="171"/>
      <c r="I349" s="171"/>
      <c r="J349" s="171"/>
      <c r="K349" s="171"/>
      <c r="L349" s="171"/>
      <c r="M349" s="171"/>
      <c r="N349" s="171"/>
      <c r="O349" s="172"/>
    </row>
    <row r="350" spans="2:15" x14ac:dyDescent="0.2">
      <c r="B350" s="176"/>
      <c r="C350" s="177"/>
      <c r="D350" s="178"/>
      <c r="E350" s="140">
        <f t="shared" ref="E350:E378" si="6">IF(ISERROR(AVERAGE(F350:O350)),0,AVERAGE(F350:O350))</f>
        <v>0</v>
      </c>
      <c r="F350" s="170"/>
      <c r="G350" s="171"/>
      <c r="H350" s="171"/>
      <c r="I350" s="171"/>
      <c r="J350" s="171"/>
      <c r="K350" s="171"/>
      <c r="L350" s="171"/>
      <c r="M350" s="171"/>
      <c r="N350" s="171"/>
      <c r="O350" s="172"/>
    </row>
    <row r="351" spans="2:15" x14ac:dyDescent="0.2">
      <c r="B351" s="176"/>
      <c r="C351" s="177"/>
      <c r="D351" s="178"/>
      <c r="E351" s="140">
        <f t="shared" si="6"/>
        <v>0</v>
      </c>
      <c r="F351" s="170"/>
      <c r="G351" s="171"/>
      <c r="H351" s="171"/>
      <c r="I351" s="171"/>
      <c r="J351" s="171"/>
      <c r="K351" s="171"/>
      <c r="L351" s="171"/>
      <c r="M351" s="171"/>
      <c r="N351" s="171"/>
      <c r="O351" s="172"/>
    </row>
    <row r="352" spans="2:15" x14ac:dyDescent="0.2">
      <c r="B352" s="176"/>
      <c r="C352" s="177"/>
      <c r="D352" s="178"/>
      <c r="E352" s="140">
        <f t="shared" si="6"/>
        <v>0</v>
      </c>
      <c r="F352" s="170"/>
      <c r="G352" s="171"/>
      <c r="H352" s="171"/>
      <c r="I352" s="171"/>
      <c r="J352" s="171"/>
      <c r="K352" s="171"/>
      <c r="L352" s="171"/>
      <c r="M352" s="171"/>
      <c r="N352" s="171"/>
      <c r="O352" s="172"/>
    </row>
    <row r="353" spans="2:15" x14ac:dyDescent="0.2">
      <c r="B353" s="176"/>
      <c r="C353" s="177"/>
      <c r="D353" s="178"/>
      <c r="E353" s="140">
        <f t="shared" si="6"/>
        <v>0</v>
      </c>
      <c r="F353" s="170"/>
      <c r="G353" s="171"/>
      <c r="H353" s="171"/>
      <c r="I353" s="171"/>
      <c r="J353" s="171"/>
      <c r="K353" s="171"/>
      <c r="L353" s="171"/>
      <c r="M353" s="171"/>
      <c r="N353" s="171"/>
      <c r="O353" s="172"/>
    </row>
    <row r="354" spans="2:15" x14ac:dyDescent="0.2">
      <c r="B354" s="176"/>
      <c r="C354" s="177"/>
      <c r="D354" s="178"/>
      <c r="E354" s="140">
        <f t="shared" si="6"/>
        <v>0</v>
      </c>
      <c r="F354" s="170"/>
      <c r="G354" s="171"/>
      <c r="H354" s="171"/>
      <c r="I354" s="171"/>
      <c r="J354" s="171"/>
      <c r="K354" s="171"/>
      <c r="L354" s="171"/>
      <c r="M354" s="171"/>
      <c r="N354" s="171"/>
      <c r="O354" s="172"/>
    </row>
    <row r="355" spans="2:15" x14ac:dyDescent="0.2">
      <c r="B355" s="176"/>
      <c r="C355" s="177"/>
      <c r="D355" s="178"/>
      <c r="E355" s="140">
        <f t="shared" si="6"/>
        <v>0</v>
      </c>
      <c r="F355" s="170"/>
      <c r="G355" s="171"/>
      <c r="H355" s="171"/>
      <c r="I355" s="171"/>
      <c r="J355" s="171"/>
      <c r="K355" s="171"/>
      <c r="L355" s="171"/>
      <c r="M355" s="171"/>
      <c r="N355" s="171"/>
      <c r="O355" s="172"/>
    </row>
    <row r="356" spans="2:15" x14ac:dyDescent="0.2">
      <c r="B356" s="176"/>
      <c r="C356" s="177"/>
      <c r="D356" s="178"/>
      <c r="E356" s="140">
        <f t="shared" si="6"/>
        <v>0</v>
      </c>
      <c r="F356" s="170"/>
      <c r="G356" s="171"/>
      <c r="H356" s="171"/>
      <c r="I356" s="171"/>
      <c r="J356" s="171"/>
      <c r="K356" s="171"/>
      <c r="L356" s="171"/>
      <c r="M356" s="171"/>
      <c r="N356" s="171"/>
      <c r="O356" s="172"/>
    </row>
    <row r="357" spans="2:15" x14ac:dyDescent="0.2">
      <c r="B357" s="176"/>
      <c r="C357" s="177"/>
      <c r="D357" s="178"/>
      <c r="E357" s="140">
        <f t="shared" si="6"/>
        <v>0</v>
      </c>
      <c r="F357" s="170"/>
      <c r="G357" s="171"/>
      <c r="H357" s="171"/>
      <c r="I357" s="171"/>
      <c r="J357" s="171"/>
      <c r="K357" s="171"/>
      <c r="L357" s="171"/>
      <c r="M357" s="171"/>
      <c r="N357" s="171"/>
      <c r="O357" s="172"/>
    </row>
    <row r="358" spans="2:15" x14ac:dyDescent="0.2">
      <c r="B358" s="176"/>
      <c r="C358" s="177"/>
      <c r="D358" s="178"/>
      <c r="E358" s="140">
        <f t="shared" si="6"/>
        <v>0</v>
      </c>
      <c r="F358" s="170"/>
      <c r="G358" s="171"/>
      <c r="H358" s="171"/>
      <c r="I358" s="171"/>
      <c r="J358" s="171"/>
      <c r="K358" s="171"/>
      <c r="L358" s="171"/>
      <c r="M358" s="171"/>
      <c r="N358" s="171"/>
      <c r="O358" s="172"/>
    </row>
    <row r="359" spans="2:15" x14ac:dyDescent="0.2">
      <c r="B359" s="176"/>
      <c r="C359" s="177"/>
      <c r="D359" s="178"/>
      <c r="E359" s="140">
        <f t="shared" si="6"/>
        <v>0</v>
      </c>
      <c r="F359" s="170"/>
      <c r="G359" s="171"/>
      <c r="H359" s="171"/>
      <c r="I359" s="171"/>
      <c r="J359" s="171"/>
      <c r="K359" s="171"/>
      <c r="L359" s="171"/>
      <c r="M359" s="171"/>
      <c r="N359" s="171"/>
      <c r="O359" s="172"/>
    </row>
    <row r="360" spans="2:15" x14ac:dyDescent="0.2">
      <c r="B360" s="176"/>
      <c r="C360" s="177"/>
      <c r="D360" s="178"/>
      <c r="E360" s="140">
        <f t="shared" si="6"/>
        <v>0</v>
      </c>
      <c r="F360" s="170"/>
      <c r="G360" s="171"/>
      <c r="H360" s="171"/>
      <c r="I360" s="171"/>
      <c r="J360" s="171"/>
      <c r="K360" s="171"/>
      <c r="L360" s="171"/>
      <c r="M360" s="171"/>
      <c r="N360" s="171"/>
      <c r="O360" s="172"/>
    </row>
    <row r="361" spans="2:15" x14ac:dyDescent="0.2">
      <c r="B361" s="176"/>
      <c r="C361" s="177"/>
      <c r="D361" s="178"/>
      <c r="E361" s="140">
        <f t="shared" si="6"/>
        <v>0</v>
      </c>
      <c r="F361" s="170"/>
      <c r="G361" s="171"/>
      <c r="H361" s="171"/>
      <c r="I361" s="171"/>
      <c r="J361" s="171"/>
      <c r="K361" s="171"/>
      <c r="L361" s="171"/>
      <c r="M361" s="171"/>
      <c r="N361" s="171"/>
      <c r="O361" s="172"/>
    </row>
    <row r="362" spans="2:15" x14ac:dyDescent="0.2">
      <c r="B362" s="176"/>
      <c r="C362" s="177"/>
      <c r="D362" s="178"/>
      <c r="E362" s="140">
        <f t="shared" si="6"/>
        <v>0</v>
      </c>
      <c r="F362" s="170"/>
      <c r="G362" s="171"/>
      <c r="H362" s="171"/>
      <c r="I362" s="171"/>
      <c r="J362" s="171"/>
      <c r="K362" s="171"/>
      <c r="L362" s="171"/>
      <c r="M362" s="171"/>
      <c r="N362" s="171"/>
      <c r="O362" s="172"/>
    </row>
    <row r="363" spans="2:15" x14ac:dyDescent="0.2">
      <c r="B363" s="176"/>
      <c r="C363" s="177"/>
      <c r="D363" s="178"/>
      <c r="E363" s="140">
        <f t="shared" si="6"/>
        <v>0</v>
      </c>
      <c r="F363" s="170"/>
      <c r="G363" s="171"/>
      <c r="H363" s="171"/>
      <c r="I363" s="171"/>
      <c r="J363" s="171"/>
      <c r="K363" s="171"/>
      <c r="L363" s="171"/>
      <c r="M363" s="171"/>
      <c r="N363" s="171"/>
      <c r="O363" s="172"/>
    </row>
    <row r="364" spans="2:15" x14ac:dyDescent="0.2">
      <c r="B364" s="176"/>
      <c r="C364" s="177"/>
      <c r="D364" s="178"/>
      <c r="E364" s="140">
        <f t="shared" si="6"/>
        <v>0</v>
      </c>
      <c r="F364" s="170"/>
      <c r="G364" s="171"/>
      <c r="H364" s="171"/>
      <c r="I364" s="171"/>
      <c r="J364" s="171"/>
      <c r="K364" s="171"/>
      <c r="L364" s="171"/>
      <c r="M364" s="171"/>
      <c r="N364" s="171"/>
      <c r="O364" s="172"/>
    </row>
    <row r="365" spans="2:15" x14ac:dyDescent="0.2">
      <c r="B365" s="176"/>
      <c r="C365" s="177"/>
      <c r="D365" s="178"/>
      <c r="E365" s="140">
        <f t="shared" si="6"/>
        <v>0</v>
      </c>
      <c r="F365" s="170"/>
      <c r="G365" s="171"/>
      <c r="H365" s="171"/>
      <c r="I365" s="171"/>
      <c r="J365" s="171"/>
      <c r="K365" s="171"/>
      <c r="L365" s="171"/>
      <c r="M365" s="171"/>
      <c r="N365" s="171"/>
      <c r="O365" s="172"/>
    </row>
    <row r="366" spans="2:15" x14ac:dyDescent="0.2">
      <c r="B366" s="176"/>
      <c r="C366" s="177"/>
      <c r="D366" s="178"/>
      <c r="E366" s="140">
        <f t="shared" si="6"/>
        <v>0</v>
      </c>
      <c r="F366" s="170"/>
      <c r="G366" s="171"/>
      <c r="H366" s="171"/>
      <c r="I366" s="171"/>
      <c r="J366" s="171"/>
      <c r="K366" s="171"/>
      <c r="L366" s="171"/>
      <c r="M366" s="171"/>
      <c r="N366" s="171"/>
      <c r="O366" s="172"/>
    </row>
    <row r="367" spans="2:15" x14ac:dyDescent="0.2">
      <c r="B367" s="176"/>
      <c r="C367" s="177"/>
      <c r="D367" s="178"/>
      <c r="E367" s="140">
        <f t="shared" si="6"/>
        <v>0</v>
      </c>
      <c r="F367" s="170"/>
      <c r="G367" s="171"/>
      <c r="H367" s="171"/>
      <c r="I367" s="171"/>
      <c r="J367" s="171"/>
      <c r="K367" s="171"/>
      <c r="L367" s="171"/>
      <c r="M367" s="171"/>
      <c r="N367" s="171"/>
      <c r="O367" s="172"/>
    </row>
    <row r="368" spans="2:15" x14ac:dyDescent="0.2">
      <c r="B368" s="176"/>
      <c r="C368" s="177"/>
      <c r="D368" s="178"/>
      <c r="E368" s="140">
        <f t="shared" si="6"/>
        <v>0</v>
      </c>
      <c r="F368" s="170"/>
      <c r="G368" s="171"/>
      <c r="H368" s="171"/>
      <c r="I368" s="171"/>
      <c r="J368" s="171"/>
      <c r="K368" s="171"/>
      <c r="L368" s="171"/>
      <c r="M368" s="171"/>
      <c r="N368" s="171"/>
      <c r="O368" s="172"/>
    </row>
    <row r="369" spans="2:15" x14ac:dyDescent="0.2">
      <c r="B369" s="176"/>
      <c r="C369" s="177"/>
      <c r="D369" s="178"/>
      <c r="E369" s="140">
        <f t="shared" si="6"/>
        <v>0</v>
      </c>
      <c r="F369" s="170"/>
      <c r="G369" s="171"/>
      <c r="H369" s="171"/>
      <c r="I369" s="171"/>
      <c r="J369" s="171"/>
      <c r="K369" s="171"/>
      <c r="L369" s="171"/>
      <c r="M369" s="171"/>
      <c r="N369" s="171"/>
      <c r="O369" s="172"/>
    </row>
    <row r="370" spans="2:15" x14ac:dyDescent="0.2">
      <c r="B370" s="176"/>
      <c r="C370" s="177"/>
      <c r="D370" s="178"/>
      <c r="E370" s="140">
        <f t="shared" si="6"/>
        <v>0</v>
      </c>
      <c r="F370" s="170"/>
      <c r="G370" s="171"/>
      <c r="H370" s="171"/>
      <c r="I370" s="171"/>
      <c r="J370" s="171"/>
      <c r="K370" s="171"/>
      <c r="L370" s="171"/>
      <c r="M370" s="171"/>
      <c r="N370" s="171"/>
      <c r="O370" s="172"/>
    </row>
    <row r="371" spans="2:15" x14ac:dyDescent="0.2">
      <c r="B371" s="176"/>
      <c r="C371" s="177"/>
      <c r="D371" s="178"/>
      <c r="E371" s="140">
        <f t="shared" si="6"/>
        <v>0</v>
      </c>
      <c r="F371" s="170"/>
      <c r="G371" s="171"/>
      <c r="H371" s="171"/>
      <c r="I371" s="171"/>
      <c r="J371" s="171"/>
      <c r="K371" s="171"/>
      <c r="L371" s="171"/>
      <c r="M371" s="171"/>
      <c r="N371" s="171"/>
      <c r="O371" s="172"/>
    </row>
    <row r="372" spans="2:15" x14ac:dyDescent="0.2">
      <c r="B372" s="176"/>
      <c r="C372" s="177"/>
      <c r="D372" s="178"/>
      <c r="E372" s="140">
        <f t="shared" si="6"/>
        <v>0</v>
      </c>
      <c r="F372" s="170"/>
      <c r="G372" s="171"/>
      <c r="H372" s="171"/>
      <c r="I372" s="171"/>
      <c r="J372" s="171"/>
      <c r="K372" s="171"/>
      <c r="L372" s="171"/>
      <c r="M372" s="171"/>
      <c r="N372" s="171"/>
      <c r="O372" s="172"/>
    </row>
    <row r="373" spans="2:15" x14ac:dyDescent="0.2">
      <c r="B373" s="176"/>
      <c r="C373" s="177"/>
      <c r="D373" s="178"/>
      <c r="E373" s="140">
        <f t="shared" si="6"/>
        <v>0</v>
      </c>
      <c r="F373" s="170"/>
      <c r="G373" s="171"/>
      <c r="H373" s="171"/>
      <c r="I373" s="171"/>
      <c r="J373" s="171"/>
      <c r="K373" s="171"/>
      <c r="L373" s="171"/>
      <c r="M373" s="171"/>
      <c r="N373" s="171"/>
      <c r="O373" s="172"/>
    </row>
    <row r="374" spans="2:15" x14ac:dyDescent="0.2">
      <c r="B374" s="176"/>
      <c r="C374" s="177"/>
      <c r="D374" s="178"/>
      <c r="E374" s="140">
        <f t="shared" si="6"/>
        <v>0</v>
      </c>
      <c r="F374" s="170"/>
      <c r="G374" s="171"/>
      <c r="H374" s="171"/>
      <c r="I374" s="171"/>
      <c r="J374" s="171"/>
      <c r="K374" s="171"/>
      <c r="L374" s="171"/>
      <c r="M374" s="171"/>
      <c r="N374" s="171"/>
      <c r="O374" s="172"/>
    </row>
    <row r="375" spans="2:15" x14ac:dyDescent="0.2">
      <c r="B375" s="176"/>
      <c r="C375" s="177"/>
      <c r="D375" s="178"/>
      <c r="E375" s="140">
        <f t="shared" si="6"/>
        <v>0</v>
      </c>
      <c r="F375" s="170"/>
      <c r="G375" s="171"/>
      <c r="H375" s="171"/>
      <c r="I375" s="171"/>
      <c r="J375" s="171"/>
      <c r="K375" s="171"/>
      <c r="L375" s="171"/>
      <c r="M375" s="171"/>
      <c r="N375" s="171"/>
      <c r="O375" s="172"/>
    </row>
    <row r="376" spans="2:15" x14ac:dyDescent="0.2">
      <c r="B376" s="176"/>
      <c r="C376" s="177"/>
      <c r="D376" s="178"/>
      <c r="E376" s="140">
        <f t="shared" si="6"/>
        <v>0</v>
      </c>
      <c r="F376" s="170"/>
      <c r="G376" s="171"/>
      <c r="H376" s="171"/>
      <c r="I376" s="171"/>
      <c r="J376" s="171"/>
      <c r="K376" s="171"/>
      <c r="L376" s="171"/>
      <c r="M376" s="171"/>
      <c r="N376" s="171"/>
      <c r="O376" s="172"/>
    </row>
    <row r="377" spans="2:15" x14ac:dyDescent="0.2">
      <c r="B377" s="176"/>
      <c r="C377" s="177"/>
      <c r="D377" s="178"/>
      <c r="E377" s="140">
        <f t="shared" si="6"/>
        <v>0</v>
      </c>
      <c r="F377" s="170"/>
      <c r="G377" s="171"/>
      <c r="H377" s="171"/>
      <c r="I377" s="171"/>
      <c r="J377" s="171"/>
      <c r="K377" s="171"/>
      <c r="L377" s="171"/>
      <c r="M377" s="171"/>
      <c r="N377" s="171"/>
      <c r="O377" s="172"/>
    </row>
    <row r="378" spans="2:15" x14ac:dyDescent="0.2">
      <c r="B378" s="176"/>
      <c r="C378" s="177"/>
      <c r="D378" s="178"/>
      <c r="E378" s="140">
        <f t="shared" si="6"/>
        <v>0</v>
      </c>
      <c r="F378" s="170"/>
      <c r="G378" s="171"/>
      <c r="H378" s="171"/>
      <c r="I378" s="171"/>
      <c r="J378" s="171"/>
      <c r="K378" s="171"/>
      <c r="L378" s="171"/>
      <c r="M378" s="171"/>
      <c r="N378" s="171"/>
      <c r="O378" s="172"/>
    </row>
    <row r="379" spans="2:15" x14ac:dyDescent="0.2">
      <c r="B379" s="176"/>
      <c r="C379" s="177"/>
      <c r="D379" s="178"/>
      <c r="E379" s="140">
        <f t="shared" ref="E379:E438" si="7">IF(ISERROR(AVERAGE(F379:O379)),0,AVERAGE(F379:O379))</f>
        <v>0</v>
      </c>
      <c r="F379" s="170"/>
      <c r="G379" s="171"/>
      <c r="H379" s="171"/>
      <c r="I379" s="171"/>
      <c r="J379" s="171"/>
      <c r="K379" s="171"/>
      <c r="L379" s="171"/>
      <c r="M379" s="171"/>
      <c r="N379" s="171"/>
      <c r="O379" s="172"/>
    </row>
    <row r="380" spans="2:15" x14ac:dyDescent="0.2">
      <c r="B380" s="176"/>
      <c r="C380" s="177"/>
      <c r="D380" s="178"/>
      <c r="E380" s="140">
        <f t="shared" si="7"/>
        <v>0</v>
      </c>
      <c r="F380" s="170"/>
      <c r="G380" s="171"/>
      <c r="H380" s="171"/>
      <c r="I380" s="171"/>
      <c r="J380" s="171"/>
      <c r="K380" s="171"/>
      <c r="L380" s="171"/>
      <c r="M380" s="171"/>
      <c r="N380" s="171"/>
      <c r="O380" s="172"/>
    </row>
    <row r="381" spans="2:15" x14ac:dyDescent="0.2">
      <c r="B381" s="176"/>
      <c r="C381" s="177"/>
      <c r="D381" s="178"/>
      <c r="E381" s="140">
        <f t="shared" si="7"/>
        <v>0</v>
      </c>
      <c r="F381" s="170"/>
      <c r="G381" s="171"/>
      <c r="H381" s="171"/>
      <c r="I381" s="171"/>
      <c r="J381" s="171"/>
      <c r="K381" s="171"/>
      <c r="L381" s="171"/>
      <c r="M381" s="171"/>
      <c r="N381" s="171"/>
      <c r="O381" s="172"/>
    </row>
    <row r="382" spans="2:15" x14ac:dyDescent="0.2">
      <c r="B382" s="176"/>
      <c r="C382" s="177"/>
      <c r="D382" s="178"/>
      <c r="E382" s="140">
        <f t="shared" si="7"/>
        <v>0</v>
      </c>
      <c r="F382" s="170"/>
      <c r="G382" s="171"/>
      <c r="H382" s="171"/>
      <c r="I382" s="171"/>
      <c r="J382" s="171"/>
      <c r="K382" s="171"/>
      <c r="L382" s="171"/>
      <c r="M382" s="171"/>
      <c r="N382" s="171"/>
      <c r="O382" s="172"/>
    </row>
    <row r="383" spans="2:15" x14ac:dyDescent="0.2">
      <c r="B383" s="176"/>
      <c r="C383" s="177"/>
      <c r="D383" s="178"/>
      <c r="E383" s="140">
        <f t="shared" si="7"/>
        <v>0</v>
      </c>
      <c r="F383" s="170"/>
      <c r="G383" s="171"/>
      <c r="H383" s="171"/>
      <c r="I383" s="171"/>
      <c r="J383" s="171"/>
      <c r="K383" s="171"/>
      <c r="L383" s="171"/>
      <c r="M383" s="171"/>
      <c r="N383" s="171"/>
      <c r="O383" s="172"/>
    </row>
    <row r="384" spans="2:15" x14ac:dyDescent="0.2">
      <c r="B384" s="176"/>
      <c r="C384" s="177"/>
      <c r="D384" s="178"/>
      <c r="E384" s="140">
        <f t="shared" si="7"/>
        <v>0</v>
      </c>
      <c r="F384" s="170"/>
      <c r="G384" s="171"/>
      <c r="H384" s="171"/>
      <c r="I384" s="171"/>
      <c r="J384" s="171"/>
      <c r="K384" s="171"/>
      <c r="L384" s="171"/>
      <c r="M384" s="171"/>
      <c r="N384" s="171"/>
      <c r="O384" s="172"/>
    </row>
    <row r="385" spans="2:15" x14ac:dyDescent="0.2">
      <c r="B385" s="176"/>
      <c r="C385" s="177"/>
      <c r="D385" s="178"/>
      <c r="E385" s="140">
        <f t="shared" si="7"/>
        <v>0</v>
      </c>
      <c r="F385" s="170"/>
      <c r="G385" s="171"/>
      <c r="H385" s="171"/>
      <c r="I385" s="171"/>
      <c r="J385" s="171"/>
      <c r="K385" s="171"/>
      <c r="L385" s="171"/>
      <c r="M385" s="171"/>
      <c r="N385" s="171"/>
      <c r="O385" s="172"/>
    </row>
    <row r="386" spans="2:15" x14ac:dyDescent="0.2">
      <c r="B386" s="176"/>
      <c r="C386" s="177"/>
      <c r="D386" s="178"/>
      <c r="E386" s="140">
        <f t="shared" si="7"/>
        <v>0</v>
      </c>
      <c r="F386" s="170"/>
      <c r="G386" s="171"/>
      <c r="H386" s="171"/>
      <c r="I386" s="171"/>
      <c r="J386" s="171"/>
      <c r="K386" s="171"/>
      <c r="L386" s="171"/>
      <c r="M386" s="171"/>
      <c r="N386" s="171"/>
      <c r="O386" s="172"/>
    </row>
    <row r="387" spans="2:15" x14ac:dyDescent="0.2">
      <c r="B387" s="176"/>
      <c r="C387" s="177"/>
      <c r="D387" s="178"/>
      <c r="E387" s="140">
        <f t="shared" si="7"/>
        <v>0</v>
      </c>
      <c r="F387" s="170"/>
      <c r="G387" s="171"/>
      <c r="H387" s="171"/>
      <c r="I387" s="171"/>
      <c r="J387" s="171"/>
      <c r="K387" s="171"/>
      <c r="L387" s="171"/>
      <c r="M387" s="171"/>
      <c r="N387" s="171"/>
      <c r="O387" s="172"/>
    </row>
    <row r="388" spans="2:15" x14ac:dyDescent="0.2">
      <c r="B388" s="176"/>
      <c r="C388" s="177"/>
      <c r="D388" s="178"/>
      <c r="E388" s="140">
        <f t="shared" si="7"/>
        <v>0</v>
      </c>
      <c r="F388" s="170"/>
      <c r="G388" s="171"/>
      <c r="H388" s="171"/>
      <c r="I388" s="171"/>
      <c r="J388" s="171"/>
      <c r="K388" s="171"/>
      <c r="L388" s="171"/>
      <c r="M388" s="171"/>
      <c r="N388" s="171"/>
      <c r="O388" s="172"/>
    </row>
    <row r="389" spans="2:15" x14ac:dyDescent="0.2">
      <c r="B389" s="176"/>
      <c r="C389" s="177"/>
      <c r="D389" s="178"/>
      <c r="E389" s="140">
        <f t="shared" si="7"/>
        <v>0</v>
      </c>
      <c r="F389" s="170"/>
      <c r="G389" s="171"/>
      <c r="H389" s="171"/>
      <c r="I389" s="171"/>
      <c r="J389" s="171"/>
      <c r="K389" s="171"/>
      <c r="L389" s="171"/>
      <c r="M389" s="171"/>
      <c r="N389" s="171"/>
      <c r="O389" s="172"/>
    </row>
    <row r="390" spans="2:15" x14ac:dyDescent="0.2">
      <c r="B390" s="176"/>
      <c r="C390" s="177"/>
      <c r="D390" s="178"/>
      <c r="E390" s="140">
        <f t="shared" si="7"/>
        <v>0</v>
      </c>
      <c r="F390" s="170"/>
      <c r="G390" s="171"/>
      <c r="H390" s="171"/>
      <c r="I390" s="171"/>
      <c r="J390" s="171"/>
      <c r="K390" s="171"/>
      <c r="L390" s="171"/>
      <c r="M390" s="171"/>
      <c r="N390" s="171"/>
      <c r="O390" s="172"/>
    </row>
    <row r="391" spans="2:15" x14ac:dyDescent="0.2">
      <c r="B391" s="176"/>
      <c r="C391" s="177"/>
      <c r="D391" s="178"/>
      <c r="E391" s="140">
        <f t="shared" si="7"/>
        <v>0</v>
      </c>
      <c r="F391" s="170"/>
      <c r="G391" s="171"/>
      <c r="H391" s="171"/>
      <c r="I391" s="171"/>
      <c r="J391" s="171"/>
      <c r="K391" s="171"/>
      <c r="L391" s="171"/>
      <c r="M391" s="171"/>
      <c r="N391" s="171"/>
      <c r="O391" s="172"/>
    </row>
    <row r="392" spans="2:15" x14ac:dyDescent="0.2">
      <c r="B392" s="176"/>
      <c r="C392" s="177"/>
      <c r="D392" s="178"/>
      <c r="E392" s="140">
        <f t="shared" si="7"/>
        <v>0</v>
      </c>
      <c r="F392" s="170"/>
      <c r="G392" s="171"/>
      <c r="H392" s="171"/>
      <c r="I392" s="171"/>
      <c r="J392" s="171"/>
      <c r="K392" s="171"/>
      <c r="L392" s="171"/>
      <c r="M392" s="171"/>
      <c r="N392" s="171"/>
      <c r="O392" s="172"/>
    </row>
    <row r="393" spans="2:15" x14ac:dyDescent="0.2">
      <c r="B393" s="176"/>
      <c r="C393" s="177"/>
      <c r="D393" s="178"/>
      <c r="E393" s="140">
        <f t="shared" si="7"/>
        <v>0</v>
      </c>
      <c r="F393" s="170"/>
      <c r="G393" s="171"/>
      <c r="H393" s="171"/>
      <c r="I393" s="171"/>
      <c r="J393" s="171"/>
      <c r="K393" s="171"/>
      <c r="L393" s="171"/>
      <c r="M393" s="171"/>
      <c r="N393" s="171"/>
      <c r="O393" s="172"/>
    </row>
    <row r="394" spans="2:15" x14ac:dyDescent="0.2">
      <c r="B394" s="176"/>
      <c r="C394" s="177"/>
      <c r="D394" s="178"/>
      <c r="E394" s="140">
        <f t="shared" si="7"/>
        <v>0</v>
      </c>
      <c r="F394" s="170"/>
      <c r="G394" s="171"/>
      <c r="H394" s="171"/>
      <c r="I394" s="171"/>
      <c r="J394" s="171"/>
      <c r="K394" s="171"/>
      <c r="L394" s="171"/>
      <c r="M394" s="171"/>
      <c r="N394" s="171"/>
      <c r="O394" s="172"/>
    </row>
    <row r="395" spans="2:15" x14ac:dyDescent="0.2">
      <c r="B395" s="176"/>
      <c r="C395" s="177"/>
      <c r="D395" s="178"/>
      <c r="E395" s="140">
        <f t="shared" si="7"/>
        <v>0</v>
      </c>
      <c r="F395" s="170"/>
      <c r="G395" s="171"/>
      <c r="H395" s="171"/>
      <c r="I395" s="171"/>
      <c r="J395" s="171"/>
      <c r="K395" s="171"/>
      <c r="L395" s="171"/>
      <c r="M395" s="171"/>
      <c r="N395" s="171"/>
      <c r="O395" s="172"/>
    </row>
    <row r="396" spans="2:15" x14ac:dyDescent="0.2">
      <c r="B396" s="176"/>
      <c r="C396" s="177"/>
      <c r="D396" s="178"/>
      <c r="E396" s="140">
        <f t="shared" si="7"/>
        <v>0</v>
      </c>
      <c r="F396" s="170"/>
      <c r="G396" s="171"/>
      <c r="H396" s="171"/>
      <c r="I396" s="171"/>
      <c r="J396" s="171"/>
      <c r="K396" s="171"/>
      <c r="L396" s="171"/>
      <c r="M396" s="171"/>
      <c r="N396" s="171"/>
      <c r="O396" s="172"/>
    </row>
    <row r="397" spans="2:15" x14ac:dyDescent="0.2">
      <c r="B397" s="176"/>
      <c r="C397" s="177"/>
      <c r="D397" s="178"/>
      <c r="E397" s="140">
        <f t="shared" si="7"/>
        <v>0</v>
      </c>
      <c r="F397" s="170"/>
      <c r="G397" s="171"/>
      <c r="H397" s="171"/>
      <c r="I397" s="171"/>
      <c r="J397" s="171"/>
      <c r="K397" s="171"/>
      <c r="L397" s="171"/>
      <c r="M397" s="171"/>
      <c r="N397" s="171"/>
      <c r="O397" s="172"/>
    </row>
    <row r="398" spans="2:15" x14ac:dyDescent="0.2">
      <c r="B398" s="176"/>
      <c r="C398" s="177"/>
      <c r="D398" s="178"/>
      <c r="E398" s="140">
        <f t="shared" si="7"/>
        <v>0</v>
      </c>
      <c r="F398" s="170"/>
      <c r="G398" s="171"/>
      <c r="H398" s="171"/>
      <c r="I398" s="171"/>
      <c r="J398" s="171"/>
      <c r="K398" s="171"/>
      <c r="L398" s="171"/>
      <c r="M398" s="171"/>
      <c r="N398" s="171"/>
      <c r="O398" s="172"/>
    </row>
    <row r="399" spans="2:15" x14ac:dyDescent="0.2">
      <c r="B399" s="176"/>
      <c r="C399" s="177"/>
      <c r="D399" s="178"/>
      <c r="E399" s="140">
        <f t="shared" si="7"/>
        <v>0</v>
      </c>
      <c r="F399" s="170"/>
      <c r="G399" s="171"/>
      <c r="H399" s="171"/>
      <c r="I399" s="171"/>
      <c r="J399" s="171"/>
      <c r="K399" s="171"/>
      <c r="L399" s="171"/>
      <c r="M399" s="171"/>
      <c r="N399" s="171"/>
      <c r="O399" s="172"/>
    </row>
    <row r="400" spans="2:15" x14ac:dyDescent="0.2">
      <c r="B400" s="176"/>
      <c r="C400" s="177"/>
      <c r="D400" s="178"/>
      <c r="E400" s="140">
        <f t="shared" si="7"/>
        <v>0</v>
      </c>
      <c r="F400" s="170"/>
      <c r="G400" s="171"/>
      <c r="H400" s="171"/>
      <c r="I400" s="171"/>
      <c r="J400" s="171"/>
      <c r="K400" s="171"/>
      <c r="L400" s="171"/>
      <c r="M400" s="171"/>
      <c r="N400" s="171"/>
      <c r="O400" s="172"/>
    </row>
    <row r="401" spans="2:15" x14ac:dyDescent="0.2">
      <c r="B401" s="176"/>
      <c r="C401" s="177"/>
      <c r="D401" s="178"/>
      <c r="E401" s="140">
        <f t="shared" si="7"/>
        <v>0</v>
      </c>
      <c r="F401" s="170"/>
      <c r="G401" s="171"/>
      <c r="H401" s="171"/>
      <c r="I401" s="171"/>
      <c r="J401" s="171"/>
      <c r="K401" s="171"/>
      <c r="L401" s="171"/>
      <c r="M401" s="171"/>
      <c r="N401" s="171"/>
      <c r="O401" s="172"/>
    </row>
    <row r="402" spans="2:15" x14ac:dyDescent="0.2">
      <c r="B402" s="176"/>
      <c r="C402" s="177"/>
      <c r="D402" s="178"/>
      <c r="E402" s="140">
        <f t="shared" si="7"/>
        <v>0</v>
      </c>
      <c r="F402" s="170"/>
      <c r="G402" s="171"/>
      <c r="H402" s="171"/>
      <c r="I402" s="171"/>
      <c r="J402" s="171"/>
      <c r="K402" s="171"/>
      <c r="L402" s="171"/>
      <c r="M402" s="171"/>
      <c r="N402" s="171"/>
      <c r="O402" s="172"/>
    </row>
    <row r="403" spans="2:15" x14ac:dyDescent="0.2">
      <c r="B403" s="176"/>
      <c r="C403" s="177"/>
      <c r="D403" s="178"/>
      <c r="E403" s="140">
        <f t="shared" si="7"/>
        <v>0</v>
      </c>
      <c r="F403" s="170"/>
      <c r="G403" s="171"/>
      <c r="H403" s="171"/>
      <c r="I403" s="171"/>
      <c r="J403" s="171"/>
      <c r="K403" s="171"/>
      <c r="L403" s="171"/>
      <c r="M403" s="171"/>
      <c r="N403" s="171"/>
      <c r="O403" s="172"/>
    </row>
    <row r="404" spans="2:15" x14ac:dyDescent="0.2">
      <c r="B404" s="176"/>
      <c r="C404" s="177"/>
      <c r="D404" s="178"/>
      <c r="E404" s="140">
        <f t="shared" si="7"/>
        <v>0</v>
      </c>
      <c r="F404" s="170"/>
      <c r="G404" s="171"/>
      <c r="H404" s="171"/>
      <c r="I404" s="171"/>
      <c r="J404" s="171"/>
      <c r="K404" s="171"/>
      <c r="L404" s="171"/>
      <c r="M404" s="171"/>
      <c r="N404" s="171"/>
      <c r="O404" s="172"/>
    </row>
    <row r="405" spans="2:15" x14ac:dyDescent="0.2">
      <c r="B405" s="176"/>
      <c r="C405" s="177"/>
      <c r="D405" s="178"/>
      <c r="E405" s="140">
        <f t="shared" si="7"/>
        <v>0</v>
      </c>
      <c r="F405" s="170"/>
      <c r="G405" s="171"/>
      <c r="H405" s="171"/>
      <c r="I405" s="171"/>
      <c r="J405" s="171"/>
      <c r="K405" s="171"/>
      <c r="L405" s="171"/>
      <c r="M405" s="171"/>
      <c r="N405" s="171"/>
      <c r="O405" s="172"/>
    </row>
    <row r="406" spans="2:15" x14ac:dyDescent="0.2">
      <c r="B406" s="176"/>
      <c r="C406" s="177"/>
      <c r="D406" s="178"/>
      <c r="E406" s="140">
        <f t="shared" si="7"/>
        <v>0</v>
      </c>
      <c r="F406" s="170"/>
      <c r="G406" s="171"/>
      <c r="H406" s="171"/>
      <c r="I406" s="171"/>
      <c r="J406" s="171"/>
      <c r="K406" s="171"/>
      <c r="L406" s="171"/>
      <c r="M406" s="171"/>
      <c r="N406" s="171"/>
      <c r="O406" s="172"/>
    </row>
    <row r="407" spans="2:15" x14ac:dyDescent="0.2">
      <c r="B407" s="176"/>
      <c r="C407" s="177"/>
      <c r="D407" s="178"/>
      <c r="E407" s="140">
        <f t="shared" si="7"/>
        <v>0</v>
      </c>
      <c r="F407" s="170"/>
      <c r="G407" s="171"/>
      <c r="H407" s="171"/>
      <c r="I407" s="171"/>
      <c r="J407" s="171"/>
      <c r="K407" s="171"/>
      <c r="L407" s="171"/>
      <c r="M407" s="171"/>
      <c r="N407" s="171"/>
      <c r="O407" s="172"/>
    </row>
    <row r="408" spans="2:15" x14ac:dyDescent="0.2">
      <c r="B408" s="176"/>
      <c r="C408" s="177"/>
      <c r="D408" s="178"/>
      <c r="E408" s="140">
        <f t="shared" si="7"/>
        <v>0</v>
      </c>
      <c r="F408" s="170"/>
      <c r="G408" s="171"/>
      <c r="H408" s="171"/>
      <c r="I408" s="171"/>
      <c r="J408" s="171"/>
      <c r="K408" s="171"/>
      <c r="L408" s="171"/>
      <c r="M408" s="171"/>
      <c r="N408" s="171"/>
      <c r="O408" s="172"/>
    </row>
    <row r="409" spans="2:15" x14ac:dyDescent="0.2">
      <c r="B409" s="176"/>
      <c r="C409" s="177"/>
      <c r="D409" s="178"/>
      <c r="E409" s="140">
        <f t="shared" si="7"/>
        <v>0</v>
      </c>
      <c r="F409" s="170"/>
      <c r="G409" s="171"/>
      <c r="H409" s="171"/>
      <c r="I409" s="171"/>
      <c r="J409" s="171"/>
      <c r="K409" s="171"/>
      <c r="L409" s="171"/>
      <c r="M409" s="171"/>
      <c r="N409" s="171"/>
      <c r="O409" s="172"/>
    </row>
    <row r="410" spans="2:15" x14ac:dyDescent="0.2">
      <c r="B410" s="176"/>
      <c r="C410" s="177"/>
      <c r="D410" s="178"/>
      <c r="E410" s="140">
        <f t="shared" si="7"/>
        <v>0</v>
      </c>
      <c r="F410" s="170"/>
      <c r="G410" s="171"/>
      <c r="H410" s="171"/>
      <c r="I410" s="171"/>
      <c r="J410" s="171"/>
      <c r="K410" s="171"/>
      <c r="L410" s="171"/>
      <c r="M410" s="171"/>
      <c r="N410" s="171"/>
      <c r="O410" s="172"/>
    </row>
    <row r="411" spans="2:15" x14ac:dyDescent="0.2">
      <c r="B411" s="176"/>
      <c r="C411" s="177"/>
      <c r="D411" s="178"/>
      <c r="E411" s="140">
        <f t="shared" si="7"/>
        <v>0</v>
      </c>
      <c r="F411" s="170"/>
      <c r="G411" s="171"/>
      <c r="H411" s="171"/>
      <c r="I411" s="171"/>
      <c r="J411" s="171"/>
      <c r="K411" s="171"/>
      <c r="L411" s="171"/>
      <c r="M411" s="171"/>
      <c r="N411" s="171"/>
      <c r="O411" s="172"/>
    </row>
    <row r="412" spans="2:15" x14ac:dyDescent="0.2">
      <c r="B412" s="176"/>
      <c r="C412" s="177"/>
      <c r="D412" s="178"/>
      <c r="E412" s="140">
        <f t="shared" si="7"/>
        <v>0</v>
      </c>
      <c r="F412" s="170"/>
      <c r="G412" s="171"/>
      <c r="H412" s="171"/>
      <c r="I412" s="171"/>
      <c r="J412" s="171"/>
      <c r="K412" s="171"/>
      <c r="L412" s="171"/>
      <c r="M412" s="171"/>
      <c r="N412" s="171"/>
      <c r="O412" s="172"/>
    </row>
    <row r="413" spans="2:15" x14ac:dyDescent="0.2">
      <c r="B413" s="176"/>
      <c r="C413" s="177"/>
      <c r="D413" s="178"/>
      <c r="E413" s="140">
        <f t="shared" si="7"/>
        <v>0</v>
      </c>
      <c r="F413" s="170"/>
      <c r="G413" s="171"/>
      <c r="H413" s="171"/>
      <c r="I413" s="171"/>
      <c r="J413" s="171"/>
      <c r="K413" s="171"/>
      <c r="L413" s="171"/>
      <c r="M413" s="171"/>
      <c r="N413" s="171"/>
      <c r="O413" s="172"/>
    </row>
    <row r="414" spans="2:15" x14ac:dyDescent="0.2">
      <c r="B414" s="176"/>
      <c r="C414" s="177"/>
      <c r="D414" s="178"/>
      <c r="E414" s="140">
        <f t="shared" si="7"/>
        <v>0</v>
      </c>
      <c r="F414" s="170"/>
      <c r="G414" s="171"/>
      <c r="H414" s="171"/>
      <c r="I414" s="171"/>
      <c r="J414" s="171"/>
      <c r="K414" s="171"/>
      <c r="L414" s="171"/>
      <c r="M414" s="171"/>
      <c r="N414" s="171"/>
      <c r="O414" s="172"/>
    </row>
    <row r="415" spans="2:15" x14ac:dyDescent="0.2">
      <c r="B415" s="176"/>
      <c r="C415" s="177"/>
      <c r="D415" s="178"/>
      <c r="E415" s="140">
        <f t="shared" si="7"/>
        <v>0</v>
      </c>
      <c r="F415" s="170"/>
      <c r="G415" s="171"/>
      <c r="H415" s="171"/>
      <c r="I415" s="171"/>
      <c r="J415" s="171"/>
      <c r="K415" s="171"/>
      <c r="L415" s="171"/>
      <c r="M415" s="171"/>
      <c r="N415" s="171"/>
      <c r="O415" s="172"/>
    </row>
    <row r="416" spans="2:15" x14ac:dyDescent="0.2">
      <c r="B416" s="176"/>
      <c r="C416" s="177"/>
      <c r="D416" s="178"/>
      <c r="E416" s="140">
        <f t="shared" si="7"/>
        <v>0</v>
      </c>
      <c r="F416" s="170"/>
      <c r="G416" s="171"/>
      <c r="H416" s="171"/>
      <c r="I416" s="171"/>
      <c r="J416" s="171"/>
      <c r="K416" s="171"/>
      <c r="L416" s="171"/>
      <c r="M416" s="171"/>
      <c r="N416" s="171"/>
      <c r="O416" s="172"/>
    </row>
    <row r="417" spans="2:15" x14ac:dyDescent="0.2">
      <c r="B417" s="176"/>
      <c r="C417" s="177"/>
      <c r="D417" s="178"/>
      <c r="E417" s="140">
        <f t="shared" si="7"/>
        <v>0</v>
      </c>
      <c r="F417" s="170"/>
      <c r="G417" s="171"/>
      <c r="H417" s="171"/>
      <c r="I417" s="171"/>
      <c r="J417" s="171"/>
      <c r="K417" s="171"/>
      <c r="L417" s="171"/>
      <c r="M417" s="171"/>
      <c r="N417" s="171"/>
      <c r="O417" s="172"/>
    </row>
    <row r="418" spans="2:15" x14ac:dyDescent="0.2">
      <c r="B418" s="176"/>
      <c r="C418" s="177"/>
      <c r="D418" s="178"/>
      <c r="E418" s="140">
        <f t="shared" si="7"/>
        <v>0</v>
      </c>
      <c r="F418" s="170"/>
      <c r="G418" s="171"/>
      <c r="H418" s="171"/>
      <c r="I418" s="171"/>
      <c r="J418" s="171"/>
      <c r="K418" s="171"/>
      <c r="L418" s="171"/>
      <c r="M418" s="171"/>
      <c r="N418" s="171"/>
      <c r="O418" s="172"/>
    </row>
    <row r="419" spans="2:15" x14ac:dyDescent="0.2">
      <c r="B419" s="176"/>
      <c r="C419" s="177"/>
      <c r="D419" s="178"/>
      <c r="E419" s="140">
        <f t="shared" si="7"/>
        <v>0</v>
      </c>
      <c r="F419" s="170"/>
      <c r="G419" s="171"/>
      <c r="H419" s="171"/>
      <c r="I419" s="171"/>
      <c r="J419" s="171"/>
      <c r="K419" s="171"/>
      <c r="L419" s="171"/>
      <c r="M419" s="171"/>
      <c r="N419" s="171"/>
      <c r="O419" s="172"/>
    </row>
    <row r="420" spans="2:15" x14ac:dyDescent="0.2">
      <c r="B420" s="176"/>
      <c r="C420" s="177"/>
      <c r="D420" s="178"/>
      <c r="E420" s="140">
        <f t="shared" si="7"/>
        <v>0</v>
      </c>
      <c r="F420" s="170"/>
      <c r="G420" s="171"/>
      <c r="H420" s="171"/>
      <c r="I420" s="171"/>
      <c r="J420" s="171"/>
      <c r="K420" s="171"/>
      <c r="L420" s="171"/>
      <c r="M420" s="171"/>
      <c r="N420" s="171"/>
      <c r="O420" s="172"/>
    </row>
    <row r="421" spans="2:15" x14ac:dyDescent="0.2">
      <c r="B421" s="176"/>
      <c r="C421" s="177"/>
      <c r="D421" s="178"/>
      <c r="E421" s="140">
        <f t="shared" si="7"/>
        <v>0</v>
      </c>
      <c r="F421" s="170"/>
      <c r="G421" s="171"/>
      <c r="H421" s="171"/>
      <c r="I421" s="171"/>
      <c r="J421" s="171"/>
      <c r="K421" s="171"/>
      <c r="L421" s="171"/>
      <c r="M421" s="171"/>
      <c r="N421" s="171"/>
      <c r="O421" s="172"/>
    </row>
    <row r="422" spans="2:15" x14ac:dyDescent="0.2">
      <c r="B422" s="176"/>
      <c r="C422" s="177"/>
      <c r="D422" s="178"/>
      <c r="E422" s="140">
        <f t="shared" si="7"/>
        <v>0</v>
      </c>
      <c r="F422" s="170"/>
      <c r="G422" s="171"/>
      <c r="H422" s="171"/>
      <c r="I422" s="171"/>
      <c r="J422" s="171"/>
      <c r="K422" s="171"/>
      <c r="L422" s="171"/>
      <c r="M422" s="171"/>
      <c r="N422" s="171"/>
      <c r="O422" s="172"/>
    </row>
    <row r="423" spans="2:15" x14ac:dyDescent="0.2">
      <c r="B423" s="176"/>
      <c r="C423" s="177"/>
      <c r="D423" s="178"/>
      <c r="E423" s="140">
        <f t="shared" si="7"/>
        <v>0</v>
      </c>
      <c r="F423" s="170"/>
      <c r="G423" s="171"/>
      <c r="H423" s="171"/>
      <c r="I423" s="171"/>
      <c r="J423" s="171"/>
      <c r="K423" s="171"/>
      <c r="L423" s="171"/>
      <c r="M423" s="171"/>
      <c r="N423" s="171"/>
      <c r="O423" s="172"/>
    </row>
    <row r="424" spans="2:15" x14ac:dyDescent="0.2">
      <c r="B424" s="176"/>
      <c r="C424" s="177"/>
      <c r="D424" s="178"/>
      <c r="E424" s="140">
        <f t="shared" si="7"/>
        <v>0</v>
      </c>
      <c r="F424" s="170"/>
      <c r="G424" s="171"/>
      <c r="H424" s="171"/>
      <c r="I424" s="171"/>
      <c r="J424" s="171"/>
      <c r="K424" s="171"/>
      <c r="L424" s="171"/>
      <c r="M424" s="171"/>
      <c r="N424" s="171"/>
      <c r="O424" s="172"/>
    </row>
    <row r="425" spans="2:15" x14ac:dyDescent="0.2">
      <c r="B425" s="176"/>
      <c r="C425" s="177"/>
      <c r="D425" s="178"/>
      <c r="E425" s="140">
        <f t="shared" si="7"/>
        <v>0</v>
      </c>
      <c r="F425" s="170"/>
      <c r="G425" s="171"/>
      <c r="H425" s="171"/>
      <c r="I425" s="171"/>
      <c r="J425" s="171"/>
      <c r="K425" s="171"/>
      <c r="L425" s="171"/>
      <c r="M425" s="171"/>
      <c r="N425" s="171"/>
      <c r="O425" s="172"/>
    </row>
    <row r="426" spans="2:15" x14ac:dyDescent="0.2">
      <c r="B426" s="176"/>
      <c r="C426" s="177"/>
      <c r="D426" s="178"/>
      <c r="E426" s="140">
        <f t="shared" si="7"/>
        <v>0</v>
      </c>
      <c r="F426" s="170"/>
      <c r="G426" s="171"/>
      <c r="H426" s="171"/>
      <c r="I426" s="171"/>
      <c r="J426" s="171"/>
      <c r="K426" s="171"/>
      <c r="L426" s="171"/>
      <c r="M426" s="171"/>
      <c r="N426" s="171"/>
      <c r="O426" s="172"/>
    </row>
    <row r="427" spans="2:15" x14ac:dyDescent="0.2">
      <c r="B427" s="176"/>
      <c r="C427" s="177"/>
      <c r="D427" s="178"/>
      <c r="E427" s="140">
        <f t="shared" si="7"/>
        <v>0</v>
      </c>
      <c r="F427" s="170"/>
      <c r="G427" s="171"/>
      <c r="H427" s="171"/>
      <c r="I427" s="171"/>
      <c r="J427" s="171"/>
      <c r="K427" s="171"/>
      <c r="L427" s="171"/>
      <c r="M427" s="171"/>
      <c r="N427" s="171"/>
      <c r="O427" s="172"/>
    </row>
    <row r="428" spans="2:15" x14ac:dyDescent="0.2">
      <c r="B428" s="176"/>
      <c r="C428" s="177"/>
      <c r="D428" s="178"/>
      <c r="E428" s="140">
        <f t="shared" si="7"/>
        <v>0</v>
      </c>
      <c r="F428" s="170"/>
      <c r="G428" s="171"/>
      <c r="H428" s="171"/>
      <c r="I428" s="171"/>
      <c r="J428" s="171"/>
      <c r="K428" s="171"/>
      <c r="L428" s="171"/>
      <c r="M428" s="171"/>
      <c r="N428" s="171"/>
      <c r="O428" s="172"/>
    </row>
    <row r="429" spans="2:15" x14ac:dyDescent="0.2">
      <c r="B429" s="176"/>
      <c r="C429" s="177"/>
      <c r="D429" s="178"/>
      <c r="E429" s="140">
        <f t="shared" si="7"/>
        <v>0</v>
      </c>
      <c r="F429" s="170"/>
      <c r="G429" s="171"/>
      <c r="H429" s="171"/>
      <c r="I429" s="171"/>
      <c r="J429" s="171"/>
      <c r="K429" s="171"/>
      <c r="L429" s="171"/>
      <c r="M429" s="171"/>
      <c r="N429" s="171"/>
      <c r="O429" s="172"/>
    </row>
    <row r="430" spans="2:15" x14ac:dyDescent="0.2">
      <c r="B430" s="176"/>
      <c r="C430" s="177"/>
      <c r="D430" s="178"/>
      <c r="E430" s="140">
        <f t="shared" si="7"/>
        <v>0</v>
      </c>
      <c r="F430" s="170"/>
      <c r="G430" s="171"/>
      <c r="H430" s="171"/>
      <c r="I430" s="171"/>
      <c r="J430" s="171"/>
      <c r="K430" s="171"/>
      <c r="L430" s="171"/>
      <c r="M430" s="171"/>
      <c r="N430" s="171"/>
      <c r="O430" s="172"/>
    </row>
    <row r="431" spans="2:15" x14ac:dyDescent="0.2">
      <c r="B431" s="176"/>
      <c r="C431" s="177"/>
      <c r="D431" s="178"/>
      <c r="E431" s="140">
        <f t="shared" si="7"/>
        <v>0</v>
      </c>
      <c r="F431" s="170"/>
      <c r="G431" s="171"/>
      <c r="H431" s="171"/>
      <c r="I431" s="171"/>
      <c r="J431" s="171"/>
      <c r="K431" s="171"/>
      <c r="L431" s="171"/>
      <c r="M431" s="171"/>
      <c r="N431" s="171"/>
      <c r="O431" s="172"/>
    </row>
    <row r="432" spans="2:15" x14ac:dyDescent="0.2">
      <c r="B432" s="176"/>
      <c r="C432" s="177"/>
      <c r="D432" s="178"/>
      <c r="E432" s="140">
        <f t="shared" si="7"/>
        <v>0</v>
      </c>
      <c r="F432" s="170"/>
      <c r="G432" s="171"/>
      <c r="H432" s="171"/>
      <c r="I432" s="171"/>
      <c r="J432" s="171"/>
      <c r="K432" s="171"/>
      <c r="L432" s="171"/>
      <c r="M432" s="171"/>
      <c r="N432" s="171"/>
      <c r="O432" s="172"/>
    </row>
    <row r="433" spans="2:15" x14ac:dyDescent="0.2">
      <c r="B433" s="176"/>
      <c r="C433" s="177"/>
      <c r="D433" s="178"/>
      <c r="E433" s="140">
        <f t="shared" si="7"/>
        <v>0</v>
      </c>
      <c r="F433" s="170"/>
      <c r="G433" s="171"/>
      <c r="H433" s="171"/>
      <c r="I433" s="171"/>
      <c r="J433" s="171"/>
      <c r="K433" s="171"/>
      <c r="L433" s="171"/>
      <c r="M433" s="171"/>
      <c r="N433" s="171"/>
      <c r="O433" s="172"/>
    </row>
    <row r="434" spans="2:15" x14ac:dyDescent="0.2">
      <c r="B434" s="176"/>
      <c r="C434" s="177"/>
      <c r="D434" s="178"/>
      <c r="E434" s="140">
        <f t="shared" si="7"/>
        <v>0</v>
      </c>
      <c r="F434" s="170"/>
      <c r="G434" s="171"/>
      <c r="H434" s="171"/>
      <c r="I434" s="171"/>
      <c r="J434" s="171"/>
      <c r="K434" s="171"/>
      <c r="L434" s="171"/>
      <c r="M434" s="171"/>
      <c r="N434" s="171"/>
      <c r="O434" s="172"/>
    </row>
    <row r="435" spans="2:15" x14ac:dyDescent="0.2">
      <c r="B435" s="176"/>
      <c r="C435" s="177"/>
      <c r="D435" s="178"/>
      <c r="E435" s="140">
        <f t="shared" si="7"/>
        <v>0</v>
      </c>
      <c r="F435" s="170"/>
      <c r="G435" s="171"/>
      <c r="H435" s="171"/>
      <c r="I435" s="171"/>
      <c r="J435" s="171"/>
      <c r="K435" s="171"/>
      <c r="L435" s="171"/>
      <c r="M435" s="171"/>
      <c r="N435" s="171"/>
      <c r="O435" s="172"/>
    </row>
    <row r="436" spans="2:15" x14ac:dyDescent="0.2">
      <c r="B436" s="176"/>
      <c r="C436" s="177"/>
      <c r="D436" s="178"/>
      <c r="E436" s="140">
        <f t="shared" si="7"/>
        <v>0</v>
      </c>
      <c r="F436" s="170"/>
      <c r="G436" s="171"/>
      <c r="H436" s="171"/>
      <c r="I436" s="171"/>
      <c r="J436" s="171"/>
      <c r="K436" s="171"/>
      <c r="L436" s="171"/>
      <c r="M436" s="171"/>
      <c r="N436" s="171"/>
      <c r="O436" s="172"/>
    </row>
    <row r="437" spans="2:15" x14ac:dyDescent="0.2">
      <c r="B437" s="176"/>
      <c r="C437" s="177"/>
      <c r="D437" s="178"/>
      <c r="E437" s="140">
        <f t="shared" si="7"/>
        <v>0</v>
      </c>
      <c r="F437" s="170"/>
      <c r="G437" s="171"/>
      <c r="H437" s="171"/>
      <c r="I437" s="171"/>
      <c r="J437" s="171"/>
      <c r="K437" s="171"/>
      <c r="L437" s="171"/>
      <c r="M437" s="171"/>
      <c r="N437" s="171"/>
      <c r="O437" s="172"/>
    </row>
    <row r="438" spans="2:15" ht="13.5" thickBot="1" x14ac:dyDescent="0.25">
      <c r="B438" s="179"/>
      <c r="C438" s="180"/>
      <c r="D438" s="181"/>
      <c r="E438" s="142">
        <f t="shared" si="7"/>
        <v>0</v>
      </c>
      <c r="F438" s="173"/>
      <c r="G438" s="174"/>
      <c r="H438" s="174"/>
      <c r="I438" s="174"/>
      <c r="J438" s="174"/>
      <c r="K438" s="174"/>
      <c r="L438" s="174"/>
      <c r="M438" s="174"/>
      <c r="N438" s="174"/>
      <c r="O438" s="175"/>
    </row>
  </sheetData>
  <sheetProtection algorithmName="SHA-512" hashValue="rnZ/h0Xh9HHigMHV+ux+5eTHkihjjtgj1bx10RHGuAuKDII69ap4scwWyOU4NitO/8o3fDR+6hXIwS0u6u4hUg==" saltValue="QjgkOYbK27Tm2JkPGuExkw==" spinCount="100000" sheet="1" objects="1" scenarios="1" selectLockedCells="1"/>
  <autoFilter ref="B3:O282"/>
  <mergeCells count="1">
    <mergeCell ref="B2:O2"/>
  </mergeCells>
  <dataValidations xWindow="180" yWindow="190" count="5">
    <dataValidation allowBlank="1" showInputMessage="1" showErrorMessage="1" prompt="Here you can identify a specific contract or contractor. " sqref="F3:O3"/>
    <dataValidation type="decimal" allowBlank="1" showInputMessage="1" showErrorMessage="1" error="Please enter only numbers." prompt="Please enter the price of the associated service in USD without VAT. " sqref="F4:O438">
      <formula1>0</formula1>
      <formula2>999999999</formula2>
    </dataValidation>
    <dataValidation allowBlank="1" showInputMessage="1" showErrorMessage="1" prompt="Please type the associated service unit." sqref="D4:D438"/>
    <dataValidation allowBlank="1" showInputMessage="1" showErrorMessage="1" prompt="Please type the name of the service" sqref="C283:C438"/>
    <dataValidation type="whole" allowBlank="1" showInputMessage="1" showErrorMessage="1" error="Please enter whole numbers only." prompt="Please type the code of the associated service. " sqref="B283:B438">
      <formula1>0</formula1>
      <formula2>99999999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headerFooter>
    <oddFooter>&amp;C&amp;F
page &amp;P of &amp;N
Well Cost Estimation tool V1.0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23"/>
  <sheetViews>
    <sheetView showGridLines="0" showRowColHeaders="0" zoomScale="80" zoomScaleNormal="80" workbookViewId="0">
      <pane ySplit="3" topLeftCell="A50" activePane="bottomLeft" state="frozenSplit"/>
      <selection pane="bottomLeft" activeCell="F58" sqref="F58"/>
    </sheetView>
  </sheetViews>
  <sheetFormatPr baseColWidth="10" defaultColWidth="0" defaultRowHeight="12.75" zeroHeight="1" x14ac:dyDescent="0.2"/>
  <cols>
    <col min="1" max="1" width="2.85546875" style="275" customWidth="1"/>
    <col min="2" max="2" width="24.42578125" style="274" customWidth="1"/>
    <col min="3" max="10" width="21.5703125" style="275" customWidth="1"/>
    <col min="11" max="11" width="2.85546875" style="275" customWidth="1"/>
    <col min="12" max="16384" width="11.42578125" style="275" hidden="1"/>
  </cols>
  <sheetData>
    <row r="1" spans="1:10" ht="13.5" thickBot="1" x14ac:dyDescent="0.25">
      <c r="A1" s="248" t="str">
        <f ca="1">+MENU!D5</f>
        <v>Well cost tool empty_150614_2131.</v>
      </c>
    </row>
    <row r="2" spans="1:10" ht="45" customHeight="1" thickBot="1" x14ac:dyDescent="0.25">
      <c r="A2" s="273"/>
      <c r="B2" s="365" t="s">
        <v>605</v>
      </c>
      <c r="C2" s="366"/>
      <c r="D2" s="366"/>
      <c r="E2" s="366"/>
      <c r="F2" s="366"/>
      <c r="G2" s="366"/>
      <c r="H2" s="366"/>
      <c r="I2" s="366"/>
      <c r="J2" s="367"/>
    </row>
    <row r="3" spans="1:10" ht="13.5" thickBot="1" x14ac:dyDescent="0.25"/>
    <row r="4" spans="1:10" ht="13.5" thickBot="1" x14ac:dyDescent="0.25">
      <c r="A4" s="276"/>
      <c r="B4" s="250" t="s">
        <v>49</v>
      </c>
      <c r="C4" s="277">
        <v>2014</v>
      </c>
    </row>
    <row r="5" spans="1:10" ht="13.5" thickBot="1" x14ac:dyDescent="0.25"/>
    <row r="6" spans="1:10" x14ac:dyDescent="0.2">
      <c r="B6" s="362" t="s">
        <v>0</v>
      </c>
      <c r="C6" s="363"/>
      <c r="D6" s="363"/>
      <c r="E6" s="363"/>
      <c r="F6" s="363"/>
      <c r="G6" s="363"/>
      <c r="H6" s="363"/>
      <c r="I6" s="363"/>
      <c r="J6" s="364"/>
    </row>
    <row r="7" spans="1:10" x14ac:dyDescent="0.2">
      <c r="B7" s="251" t="s">
        <v>31</v>
      </c>
      <c r="C7" s="368"/>
      <c r="D7" s="369"/>
      <c r="E7" s="278" t="s">
        <v>26</v>
      </c>
      <c r="F7" s="278" t="s">
        <v>27</v>
      </c>
      <c r="G7" s="278" t="s">
        <v>28</v>
      </c>
      <c r="H7" s="278" t="s">
        <v>29</v>
      </c>
      <c r="I7" s="278" t="s">
        <v>30</v>
      </c>
      <c r="J7" s="279"/>
    </row>
    <row r="8" spans="1:10" x14ac:dyDescent="0.2">
      <c r="B8" s="251" t="s">
        <v>22</v>
      </c>
      <c r="C8" s="278" t="s">
        <v>1</v>
      </c>
      <c r="D8" s="278" t="s">
        <v>2</v>
      </c>
      <c r="E8" s="295" t="s">
        <v>7</v>
      </c>
      <c r="F8" s="295" t="s">
        <v>7</v>
      </c>
      <c r="G8" s="295" t="s">
        <v>7</v>
      </c>
      <c r="H8" s="295" t="s">
        <v>7</v>
      </c>
      <c r="I8" s="295" t="s">
        <v>7</v>
      </c>
      <c r="J8" s="279" t="str">
        <f>+IF(AND(E8="N/A",F8="N/A",G8="N/A",H8="N/A",I8="N/A"),"N/A","COMPLETION")</f>
        <v>N/A</v>
      </c>
    </row>
    <row r="9" spans="1:10" x14ac:dyDescent="0.2">
      <c r="B9" s="251" t="s">
        <v>39</v>
      </c>
      <c r="C9" s="280" t="s">
        <v>7</v>
      </c>
      <c r="D9" s="280" t="s">
        <v>7</v>
      </c>
      <c r="E9" s="265"/>
      <c r="F9" s="265"/>
      <c r="G9" s="265"/>
      <c r="H9" s="265"/>
      <c r="I9" s="265"/>
      <c r="J9" s="281" t="s">
        <v>7</v>
      </c>
    </row>
    <row r="10" spans="1:10" ht="25.5" x14ac:dyDescent="0.2">
      <c r="B10" s="251" t="s">
        <v>40</v>
      </c>
      <c r="C10" s="280" t="s">
        <v>7</v>
      </c>
      <c r="D10" s="280" t="s">
        <v>7</v>
      </c>
      <c r="E10" s="265"/>
      <c r="F10" s="265"/>
      <c r="G10" s="265"/>
      <c r="H10" s="265"/>
      <c r="I10" s="265"/>
      <c r="J10" s="282"/>
    </row>
    <row r="11" spans="1:10" x14ac:dyDescent="0.2">
      <c r="B11" s="251" t="s">
        <v>50</v>
      </c>
      <c r="C11" s="280">
        <v>0</v>
      </c>
      <c r="D11" s="280">
        <v>0</v>
      </c>
      <c r="E11" s="265"/>
      <c r="F11" s="265"/>
      <c r="G11" s="265"/>
      <c r="H11" s="265"/>
      <c r="I11" s="265"/>
      <c r="J11" s="281">
        <f>+MAX(E11:I11)</f>
        <v>0</v>
      </c>
    </row>
    <row r="12" spans="1:10" x14ac:dyDescent="0.2">
      <c r="B12" s="251" t="s">
        <v>64</v>
      </c>
      <c r="C12" s="280" t="s">
        <v>7</v>
      </c>
      <c r="D12" s="280" t="s">
        <v>7</v>
      </c>
      <c r="E12" s="265"/>
      <c r="F12" s="265"/>
      <c r="G12" s="265"/>
      <c r="H12" s="265"/>
      <c r="I12" s="265"/>
      <c r="J12" s="282"/>
    </row>
    <row r="13" spans="1:10" x14ac:dyDescent="0.2">
      <c r="B13" s="251" t="s">
        <v>5</v>
      </c>
      <c r="C13" s="283" t="s">
        <v>7</v>
      </c>
      <c r="D13" s="283" t="s">
        <v>7</v>
      </c>
      <c r="E13" s="284"/>
      <c r="F13" s="284"/>
      <c r="G13" s="284"/>
      <c r="H13" s="284"/>
      <c r="I13" s="284"/>
      <c r="J13" s="285">
        <v>0</v>
      </c>
    </row>
    <row r="14" spans="1:10" x14ac:dyDescent="0.2">
      <c r="B14" s="251" t="s">
        <v>4</v>
      </c>
      <c r="C14" s="284"/>
      <c r="D14" s="284"/>
      <c r="E14" s="284"/>
      <c r="F14" s="284"/>
      <c r="G14" s="284"/>
      <c r="H14" s="284"/>
      <c r="I14" s="284"/>
      <c r="J14" s="286"/>
    </row>
    <row r="15" spans="1:10" ht="13.5" thickBot="1" x14ac:dyDescent="0.25">
      <c r="B15" s="252" t="s">
        <v>6</v>
      </c>
      <c r="C15" s="287">
        <f>+C14</f>
        <v>0</v>
      </c>
      <c r="D15" s="287">
        <f>+D14</f>
        <v>0</v>
      </c>
      <c r="E15" s="288">
        <f>+E14+E13</f>
        <v>0</v>
      </c>
      <c r="F15" s="288">
        <f>+F14+F13</f>
        <v>0</v>
      </c>
      <c r="G15" s="288">
        <f>+G14+G13</f>
        <v>0</v>
      </c>
      <c r="H15" s="288">
        <f>+H14+H13</f>
        <v>0</v>
      </c>
      <c r="I15" s="288">
        <f>+I14+I13</f>
        <v>0</v>
      </c>
      <c r="J15" s="289">
        <f>+J14</f>
        <v>0</v>
      </c>
    </row>
    <row r="16" spans="1:10" ht="13.5" thickBot="1" x14ac:dyDescent="0.25"/>
    <row r="17" spans="2:8" x14ac:dyDescent="0.2">
      <c r="B17" s="362" t="s">
        <v>480</v>
      </c>
      <c r="C17" s="364"/>
      <c r="E17" s="362" t="s">
        <v>2</v>
      </c>
      <c r="F17" s="364"/>
    </row>
    <row r="18" spans="2:8" x14ac:dyDescent="0.2">
      <c r="B18" s="251" t="s">
        <v>67</v>
      </c>
      <c r="C18" s="279" t="s">
        <v>681</v>
      </c>
      <c r="E18" s="249" t="s">
        <v>67</v>
      </c>
      <c r="F18" s="279" t="s">
        <v>681</v>
      </c>
    </row>
    <row r="19" spans="2:8" ht="38.25" x14ac:dyDescent="0.2">
      <c r="B19" s="251" t="s">
        <v>36</v>
      </c>
      <c r="C19" s="296"/>
      <c r="E19" s="249" t="s">
        <v>37</v>
      </c>
      <c r="F19" s="296"/>
    </row>
    <row r="20" spans="2:8" ht="13.5" thickBot="1" x14ac:dyDescent="0.25">
      <c r="B20" s="251" t="s">
        <v>481</v>
      </c>
      <c r="C20" s="297"/>
      <c r="E20" s="294" t="s">
        <v>2</v>
      </c>
      <c r="F20" s="298"/>
      <c r="G20" s="290"/>
    </row>
    <row r="21" spans="2:8" x14ac:dyDescent="0.2">
      <c r="B21" s="251" t="s">
        <v>482</v>
      </c>
      <c r="C21" s="297"/>
      <c r="H21" s="290"/>
    </row>
    <row r="22" spans="2:8" x14ac:dyDescent="0.2">
      <c r="B22" s="251" t="s">
        <v>483</v>
      </c>
      <c r="C22" s="297"/>
      <c r="H22" s="290"/>
    </row>
    <row r="23" spans="2:8" x14ac:dyDescent="0.2">
      <c r="B23" s="251" t="s">
        <v>484</v>
      </c>
      <c r="C23" s="297"/>
    </row>
    <row r="24" spans="2:8" x14ac:dyDescent="0.2">
      <c r="B24" s="251" t="s">
        <v>485</v>
      </c>
      <c r="C24" s="297"/>
    </row>
    <row r="25" spans="2:8" ht="13.5" thickBot="1" x14ac:dyDescent="0.25">
      <c r="B25" s="252" t="s">
        <v>486</v>
      </c>
      <c r="C25" s="298"/>
    </row>
    <row r="26" spans="2:8" ht="13.5" thickBot="1" x14ac:dyDescent="0.25"/>
    <row r="27" spans="2:8" x14ac:dyDescent="0.2">
      <c r="B27" s="362" t="s">
        <v>520</v>
      </c>
      <c r="C27" s="363"/>
      <c r="D27" s="363"/>
      <c r="E27" s="363"/>
      <c r="F27" s="363"/>
      <c r="G27" s="363"/>
      <c r="H27" s="364"/>
    </row>
    <row r="28" spans="2:8" x14ac:dyDescent="0.2">
      <c r="B28" s="253"/>
      <c r="C28" s="278" t="str">
        <f t="shared" ref="C28:H28" si="0">+E8</f>
        <v>N/A</v>
      </c>
      <c r="D28" s="278" t="str">
        <f t="shared" si="0"/>
        <v>N/A</v>
      </c>
      <c r="E28" s="278" t="str">
        <f t="shared" si="0"/>
        <v>N/A</v>
      </c>
      <c r="F28" s="278" t="str">
        <f t="shared" si="0"/>
        <v>N/A</v>
      </c>
      <c r="G28" s="278" t="str">
        <f t="shared" si="0"/>
        <v>N/A</v>
      </c>
      <c r="H28" s="279" t="str">
        <f t="shared" si="0"/>
        <v>N/A</v>
      </c>
    </row>
    <row r="29" spans="2:8" ht="25.5" x14ac:dyDescent="0.2">
      <c r="B29" s="306" t="s">
        <v>521</v>
      </c>
      <c r="C29" s="265"/>
      <c r="D29" s="265"/>
      <c r="E29" s="265"/>
      <c r="F29" s="265"/>
      <c r="G29" s="265"/>
      <c r="H29" s="282"/>
    </row>
    <row r="30" spans="2:8" ht="25.5" x14ac:dyDescent="0.2">
      <c r="B30" s="306" t="s">
        <v>620</v>
      </c>
      <c r="C30" s="265"/>
      <c r="D30" s="265"/>
      <c r="E30" s="265"/>
      <c r="F30" s="265"/>
      <c r="G30" s="265"/>
      <c r="H30" s="282"/>
    </row>
    <row r="31" spans="2:8" x14ac:dyDescent="0.2">
      <c r="B31" s="306" t="s">
        <v>524</v>
      </c>
      <c r="C31" s="265"/>
      <c r="D31" s="265"/>
      <c r="E31" s="265"/>
      <c r="F31" s="265"/>
      <c r="G31" s="265"/>
      <c r="H31" s="282"/>
    </row>
    <row r="32" spans="2:8" x14ac:dyDescent="0.2">
      <c r="B32" s="251" t="s">
        <v>522</v>
      </c>
      <c r="C32" s="299"/>
      <c r="D32" s="299"/>
      <c r="E32" s="299"/>
      <c r="F32" s="299"/>
      <c r="G32" s="299"/>
      <c r="H32" s="297"/>
    </row>
    <row r="33" spans="2:8" ht="25.5" x14ac:dyDescent="0.2">
      <c r="B33" s="251" t="s">
        <v>660</v>
      </c>
      <c r="C33" s="265"/>
      <c r="D33" s="265"/>
      <c r="E33" s="265"/>
      <c r="F33" s="265"/>
      <c r="G33" s="265"/>
      <c r="H33" s="282"/>
    </row>
    <row r="34" spans="2:8" ht="26.25" thickBot="1" x14ac:dyDescent="0.25">
      <c r="B34" s="252" t="s">
        <v>523</v>
      </c>
      <c r="C34" s="300"/>
      <c r="D34" s="300"/>
      <c r="E34" s="300"/>
      <c r="F34" s="300"/>
      <c r="G34" s="300"/>
      <c r="H34" s="298"/>
    </row>
    <row r="35" spans="2:8" ht="13.5" thickBot="1" x14ac:dyDescent="0.25"/>
    <row r="36" spans="2:8" x14ac:dyDescent="0.2">
      <c r="B36" s="362" t="s">
        <v>537</v>
      </c>
      <c r="C36" s="363"/>
      <c r="D36" s="363"/>
      <c r="E36" s="363"/>
      <c r="F36" s="363"/>
      <c r="G36" s="363"/>
      <c r="H36" s="364"/>
    </row>
    <row r="37" spans="2:8" x14ac:dyDescent="0.2">
      <c r="B37" s="253"/>
      <c r="C37" s="278" t="str">
        <f t="shared" ref="C37:H37" si="1">+C28</f>
        <v>N/A</v>
      </c>
      <c r="D37" s="278" t="str">
        <f t="shared" si="1"/>
        <v>N/A</v>
      </c>
      <c r="E37" s="278" t="str">
        <f t="shared" si="1"/>
        <v>N/A</v>
      </c>
      <c r="F37" s="278" t="str">
        <f t="shared" si="1"/>
        <v>N/A</v>
      </c>
      <c r="G37" s="278" t="str">
        <f t="shared" si="1"/>
        <v>N/A</v>
      </c>
      <c r="H37" s="279" t="str">
        <f t="shared" si="1"/>
        <v>N/A</v>
      </c>
    </row>
    <row r="38" spans="2:8" ht="25.5" x14ac:dyDescent="0.2">
      <c r="B38" s="251" t="s">
        <v>616</v>
      </c>
      <c r="C38" s="265"/>
      <c r="D38" s="265"/>
      <c r="E38" s="265"/>
      <c r="F38" s="265"/>
      <c r="G38" s="265"/>
      <c r="H38" s="291" t="s">
        <v>7</v>
      </c>
    </row>
    <row r="39" spans="2:8" ht="38.25" x14ac:dyDescent="0.2">
      <c r="B39" s="251" t="s">
        <v>661</v>
      </c>
      <c r="C39" s="265"/>
      <c r="D39" s="265"/>
      <c r="E39" s="265"/>
      <c r="F39" s="265"/>
      <c r="G39" s="265"/>
      <c r="H39" s="282"/>
    </row>
    <row r="40" spans="2:8" x14ac:dyDescent="0.2">
      <c r="B40" s="251" t="s">
        <v>617</v>
      </c>
      <c r="C40" s="265"/>
      <c r="D40" s="265"/>
      <c r="E40" s="265"/>
      <c r="F40" s="265"/>
      <c r="G40" s="265"/>
      <c r="H40" s="291" t="s">
        <v>7</v>
      </c>
    </row>
    <row r="41" spans="2:8" x14ac:dyDescent="0.2">
      <c r="B41" s="251" t="s">
        <v>662</v>
      </c>
      <c r="C41" s="265"/>
      <c r="D41" s="265"/>
      <c r="E41" s="265"/>
      <c r="F41" s="265"/>
      <c r="G41" s="265"/>
      <c r="H41" s="291" t="s">
        <v>7</v>
      </c>
    </row>
    <row r="42" spans="2:8" x14ac:dyDescent="0.2">
      <c r="B42" s="251" t="s">
        <v>663</v>
      </c>
      <c r="C42" s="265"/>
      <c r="D42" s="265"/>
      <c r="E42" s="265"/>
      <c r="F42" s="265"/>
      <c r="G42" s="265"/>
      <c r="H42" s="291" t="s">
        <v>7</v>
      </c>
    </row>
    <row r="43" spans="2:8" ht="25.5" x14ac:dyDescent="0.2">
      <c r="B43" s="251" t="s">
        <v>664</v>
      </c>
      <c r="C43" s="265"/>
      <c r="D43" s="265"/>
      <c r="E43" s="265"/>
      <c r="F43" s="265"/>
      <c r="G43" s="265"/>
      <c r="H43" s="291" t="s">
        <v>7</v>
      </c>
    </row>
    <row r="44" spans="2:8" x14ac:dyDescent="0.2">
      <c r="B44" s="251" t="s">
        <v>618</v>
      </c>
      <c r="C44" s="265"/>
      <c r="D44" s="265"/>
      <c r="E44" s="265"/>
      <c r="F44" s="265"/>
      <c r="G44" s="265"/>
      <c r="H44" s="291" t="s">
        <v>7</v>
      </c>
    </row>
    <row r="45" spans="2:8" x14ac:dyDescent="0.2">
      <c r="B45" s="251" t="s">
        <v>665</v>
      </c>
      <c r="C45" s="265"/>
      <c r="D45" s="265"/>
      <c r="E45" s="265"/>
      <c r="F45" s="265"/>
      <c r="G45" s="265"/>
      <c r="H45" s="291" t="s">
        <v>7</v>
      </c>
    </row>
    <row r="46" spans="2:8" x14ac:dyDescent="0.2">
      <c r="B46" s="251" t="s">
        <v>619</v>
      </c>
      <c r="C46" s="265"/>
      <c r="D46" s="265"/>
      <c r="E46" s="265"/>
      <c r="F46" s="265"/>
      <c r="G46" s="265"/>
      <c r="H46" s="291" t="s">
        <v>7</v>
      </c>
    </row>
    <row r="47" spans="2:8" ht="26.25" thickBot="1" x14ac:dyDescent="0.25">
      <c r="B47" s="252" t="s">
        <v>666</v>
      </c>
      <c r="C47" s="265"/>
      <c r="D47" s="265"/>
      <c r="E47" s="265"/>
      <c r="F47" s="265"/>
      <c r="G47" s="265"/>
      <c r="H47" s="292" t="s">
        <v>7</v>
      </c>
    </row>
    <row r="48" spans="2:8" ht="13.5" thickBot="1" x14ac:dyDescent="0.25"/>
    <row r="49" spans="2:8" x14ac:dyDescent="0.2">
      <c r="B49" s="362" t="s">
        <v>146</v>
      </c>
      <c r="C49" s="363"/>
      <c r="D49" s="363"/>
      <c r="E49" s="363"/>
      <c r="F49" s="363"/>
      <c r="G49" s="363"/>
      <c r="H49" s="364"/>
    </row>
    <row r="50" spans="2:8" x14ac:dyDescent="0.2">
      <c r="B50" s="251"/>
      <c r="C50" s="278" t="str">
        <f t="shared" ref="C50:H50" si="2">+C37</f>
        <v>N/A</v>
      </c>
      <c r="D50" s="278" t="str">
        <f t="shared" si="2"/>
        <v>N/A</v>
      </c>
      <c r="E50" s="278" t="str">
        <f t="shared" si="2"/>
        <v>N/A</v>
      </c>
      <c r="F50" s="278" t="str">
        <f t="shared" si="2"/>
        <v>N/A</v>
      </c>
      <c r="G50" s="278" t="str">
        <f t="shared" si="2"/>
        <v>N/A</v>
      </c>
      <c r="H50" s="279" t="str">
        <f t="shared" si="2"/>
        <v>N/A</v>
      </c>
    </row>
    <row r="51" spans="2:8" ht="25.5" x14ac:dyDescent="0.2">
      <c r="B51" s="251" t="s">
        <v>621</v>
      </c>
      <c r="C51" s="265"/>
      <c r="D51" s="265"/>
      <c r="E51" s="265"/>
      <c r="F51" s="265"/>
      <c r="G51" s="265"/>
      <c r="H51" s="265"/>
    </row>
    <row r="52" spans="2:8" ht="25.5" x14ac:dyDescent="0.2">
      <c r="B52" s="251" t="s">
        <v>622</v>
      </c>
      <c r="C52" s="265"/>
      <c r="D52" s="265"/>
      <c r="E52" s="265"/>
      <c r="F52" s="265"/>
      <c r="G52" s="265"/>
      <c r="H52" s="265"/>
    </row>
    <row r="53" spans="2:8" ht="25.5" x14ac:dyDescent="0.2">
      <c r="B53" s="251" t="s">
        <v>623</v>
      </c>
      <c r="C53" s="265"/>
      <c r="D53" s="265"/>
      <c r="E53" s="265"/>
      <c r="F53" s="265"/>
      <c r="G53" s="265"/>
      <c r="H53" s="265"/>
    </row>
    <row r="54" spans="2:8" ht="25.5" x14ac:dyDescent="0.2">
      <c r="B54" s="251" t="s">
        <v>624</v>
      </c>
      <c r="C54" s="265"/>
      <c r="D54" s="265"/>
      <c r="E54" s="265"/>
      <c r="F54" s="265"/>
      <c r="G54" s="265"/>
      <c r="H54" s="265"/>
    </row>
    <row r="55" spans="2:8" x14ac:dyDescent="0.2">
      <c r="B55" s="253" t="s">
        <v>626</v>
      </c>
      <c r="C55" s="280" t="s">
        <v>7</v>
      </c>
      <c r="D55" s="280" t="s">
        <v>7</v>
      </c>
      <c r="E55" s="280" t="s">
        <v>7</v>
      </c>
      <c r="F55" s="280" t="s">
        <v>7</v>
      </c>
      <c r="G55" s="280" t="s">
        <v>7</v>
      </c>
      <c r="H55" s="282"/>
    </row>
    <row r="56" spans="2:8" x14ac:dyDescent="0.2">
      <c r="B56" s="253" t="s">
        <v>627</v>
      </c>
      <c r="C56" s="280" t="s">
        <v>7</v>
      </c>
      <c r="D56" s="280" t="s">
        <v>7</v>
      </c>
      <c r="E56" s="280" t="s">
        <v>7</v>
      </c>
      <c r="F56" s="280" t="s">
        <v>7</v>
      </c>
      <c r="G56" s="280" t="s">
        <v>7</v>
      </c>
      <c r="H56" s="282"/>
    </row>
    <row r="57" spans="2:8" ht="25.5" x14ac:dyDescent="0.2">
      <c r="B57" s="253" t="s">
        <v>625</v>
      </c>
      <c r="C57" s="265"/>
      <c r="D57" s="265"/>
      <c r="E57" s="265"/>
      <c r="F57" s="265"/>
      <c r="G57" s="265"/>
      <c r="H57" s="282"/>
    </row>
    <row r="58" spans="2:8" ht="25.5" x14ac:dyDescent="0.2">
      <c r="B58" s="253" t="s">
        <v>667</v>
      </c>
      <c r="C58" s="299"/>
      <c r="D58" s="299"/>
      <c r="E58" s="299"/>
      <c r="F58" s="299"/>
      <c r="G58" s="299"/>
      <c r="H58" s="297"/>
    </row>
    <row r="59" spans="2:8" x14ac:dyDescent="0.2">
      <c r="B59" s="253" t="s">
        <v>544</v>
      </c>
      <c r="C59" s="265"/>
      <c r="D59" s="265"/>
      <c r="E59" s="265"/>
      <c r="F59" s="265"/>
      <c r="G59" s="265"/>
      <c r="H59" s="282"/>
    </row>
    <row r="60" spans="2:8" ht="25.5" x14ac:dyDescent="0.2">
      <c r="B60" s="253" t="s">
        <v>545</v>
      </c>
      <c r="C60" s="265"/>
      <c r="D60" s="265"/>
      <c r="E60" s="265"/>
      <c r="F60" s="265"/>
      <c r="G60" s="265"/>
      <c r="H60" s="280" t="s">
        <v>7</v>
      </c>
    </row>
    <row r="61" spans="2:8" x14ac:dyDescent="0.2">
      <c r="B61" s="253" t="s">
        <v>546</v>
      </c>
      <c r="C61" s="265"/>
      <c r="D61" s="265"/>
      <c r="E61" s="265"/>
      <c r="F61" s="265"/>
      <c r="G61" s="265"/>
      <c r="H61" s="280" t="s">
        <v>7</v>
      </c>
    </row>
    <row r="62" spans="2:8" x14ac:dyDescent="0.2">
      <c r="B62" s="253" t="s">
        <v>547</v>
      </c>
      <c r="C62" s="280" t="s">
        <v>7</v>
      </c>
      <c r="D62" s="280" t="s">
        <v>7</v>
      </c>
      <c r="E62" s="280" t="s">
        <v>7</v>
      </c>
      <c r="F62" s="280" t="s">
        <v>7</v>
      </c>
      <c r="G62" s="280" t="s">
        <v>7</v>
      </c>
      <c r="H62" s="282"/>
    </row>
    <row r="63" spans="2:8" ht="25.5" x14ac:dyDescent="0.2">
      <c r="B63" s="253" t="s">
        <v>668</v>
      </c>
      <c r="C63" s="280" t="s">
        <v>7</v>
      </c>
      <c r="D63" s="280" t="s">
        <v>7</v>
      </c>
      <c r="E63" s="280" t="s">
        <v>7</v>
      </c>
      <c r="F63" s="280" t="s">
        <v>7</v>
      </c>
      <c r="G63" s="280" t="s">
        <v>7</v>
      </c>
      <c r="H63" s="282"/>
    </row>
    <row r="64" spans="2:8" ht="13.5" thickBot="1" x14ac:dyDescent="0.25">
      <c r="B64" s="254" t="s">
        <v>628</v>
      </c>
      <c r="C64" s="293" t="s">
        <v>7</v>
      </c>
      <c r="D64" s="293" t="s">
        <v>7</v>
      </c>
      <c r="E64" s="293" t="s">
        <v>7</v>
      </c>
      <c r="F64" s="293" t="s">
        <v>7</v>
      </c>
      <c r="G64" s="293" t="s">
        <v>7</v>
      </c>
      <c r="H64" s="305"/>
    </row>
    <row r="65" spans="2:8" ht="13.5" thickBot="1" x14ac:dyDescent="0.25"/>
    <row r="66" spans="2:8" x14ac:dyDescent="0.2">
      <c r="B66" s="362" t="s">
        <v>229</v>
      </c>
      <c r="C66" s="363"/>
      <c r="D66" s="363"/>
      <c r="E66" s="363"/>
      <c r="F66" s="363"/>
      <c r="G66" s="363"/>
      <c r="H66" s="364"/>
    </row>
    <row r="67" spans="2:8" x14ac:dyDescent="0.2">
      <c r="B67" s="251"/>
      <c r="C67" s="278" t="str">
        <f t="shared" ref="C67:H67" si="3">+C50</f>
        <v>N/A</v>
      </c>
      <c r="D67" s="278" t="str">
        <f t="shared" si="3"/>
        <v>N/A</v>
      </c>
      <c r="E67" s="278" t="str">
        <f t="shared" si="3"/>
        <v>N/A</v>
      </c>
      <c r="F67" s="278" t="str">
        <f t="shared" si="3"/>
        <v>N/A</v>
      </c>
      <c r="G67" s="278" t="str">
        <f t="shared" si="3"/>
        <v>N/A</v>
      </c>
      <c r="H67" s="279" t="str">
        <f t="shared" si="3"/>
        <v>N/A</v>
      </c>
    </row>
    <row r="68" spans="2:8" ht="25.5" x14ac:dyDescent="0.2">
      <c r="B68" s="251" t="s">
        <v>669</v>
      </c>
      <c r="C68" s="265"/>
      <c r="D68" s="265"/>
      <c r="E68" s="265"/>
      <c r="F68" s="265"/>
      <c r="G68" s="265"/>
      <c r="H68" s="282"/>
    </row>
    <row r="69" spans="2:8" ht="25.5" x14ac:dyDescent="0.2">
      <c r="B69" s="251" t="s">
        <v>640</v>
      </c>
      <c r="C69" s="265"/>
      <c r="D69" s="265"/>
      <c r="E69" s="265"/>
      <c r="F69" s="265"/>
      <c r="G69" s="265"/>
      <c r="H69" s="282"/>
    </row>
    <row r="70" spans="2:8" ht="25.5" x14ac:dyDescent="0.2">
      <c r="B70" s="251" t="s">
        <v>641</v>
      </c>
      <c r="C70" s="265"/>
      <c r="D70" s="265"/>
      <c r="E70" s="265"/>
      <c r="F70" s="265"/>
      <c r="G70" s="265"/>
      <c r="H70" s="282"/>
    </row>
    <row r="71" spans="2:8" x14ac:dyDescent="0.2">
      <c r="B71" s="251" t="s">
        <v>642</v>
      </c>
      <c r="C71" s="265"/>
      <c r="D71" s="265"/>
      <c r="E71" s="265"/>
      <c r="F71" s="265"/>
      <c r="G71" s="265"/>
      <c r="H71" s="282"/>
    </row>
    <row r="72" spans="2:8" ht="25.5" x14ac:dyDescent="0.2">
      <c r="B72" s="251" t="s">
        <v>657</v>
      </c>
      <c r="C72" s="265"/>
      <c r="D72" s="265"/>
      <c r="E72" s="265"/>
      <c r="F72" s="265"/>
      <c r="G72" s="265"/>
      <c r="H72" s="282"/>
    </row>
    <row r="73" spans="2:8" ht="38.25" x14ac:dyDescent="0.2">
      <c r="B73" s="251" t="s">
        <v>658</v>
      </c>
      <c r="C73" s="265"/>
      <c r="D73" s="265"/>
      <c r="E73" s="265"/>
      <c r="F73" s="265"/>
      <c r="G73" s="265"/>
      <c r="H73" s="282"/>
    </row>
    <row r="74" spans="2:8" ht="38.25" x14ac:dyDescent="0.2">
      <c r="B74" s="251" t="s">
        <v>659</v>
      </c>
      <c r="C74" s="265"/>
      <c r="D74" s="265"/>
      <c r="E74" s="265"/>
      <c r="F74" s="265"/>
      <c r="G74" s="265"/>
      <c r="H74" s="282"/>
    </row>
    <row r="75" spans="2:8" ht="25.5" x14ac:dyDescent="0.2">
      <c r="B75" s="251" t="s">
        <v>565</v>
      </c>
      <c r="C75" s="265"/>
      <c r="D75" s="265"/>
      <c r="E75" s="265"/>
      <c r="F75" s="265"/>
      <c r="G75" s="265"/>
      <c r="H75" s="291" t="s">
        <v>7</v>
      </c>
    </row>
    <row r="76" spans="2:8" x14ac:dyDescent="0.2">
      <c r="B76" s="251" t="s">
        <v>643</v>
      </c>
      <c r="C76" s="265"/>
      <c r="D76" s="265"/>
      <c r="E76" s="265"/>
      <c r="F76" s="265"/>
      <c r="G76" s="265"/>
      <c r="H76" s="291" t="s">
        <v>7</v>
      </c>
    </row>
    <row r="77" spans="2:8" x14ac:dyDescent="0.2">
      <c r="B77" s="251" t="s">
        <v>670</v>
      </c>
      <c r="C77" s="265"/>
      <c r="D77" s="265"/>
      <c r="E77" s="265"/>
      <c r="F77" s="265"/>
      <c r="G77" s="265"/>
      <c r="H77" s="291"/>
    </row>
    <row r="78" spans="2:8" ht="25.5" x14ac:dyDescent="0.2">
      <c r="B78" s="251" t="s">
        <v>629</v>
      </c>
      <c r="C78" s="265"/>
      <c r="D78" s="265"/>
      <c r="E78" s="265"/>
      <c r="F78" s="265"/>
      <c r="G78" s="265"/>
      <c r="H78" s="291" t="s">
        <v>7</v>
      </c>
    </row>
    <row r="79" spans="2:8" ht="25.5" x14ac:dyDescent="0.2">
      <c r="B79" s="251" t="s">
        <v>630</v>
      </c>
      <c r="C79" s="265"/>
      <c r="D79" s="265"/>
      <c r="E79" s="265"/>
      <c r="F79" s="265"/>
      <c r="G79" s="265"/>
      <c r="H79" s="291" t="s">
        <v>7</v>
      </c>
    </row>
    <row r="80" spans="2:8" ht="38.25" x14ac:dyDescent="0.2">
      <c r="B80" s="251" t="s">
        <v>631</v>
      </c>
      <c r="C80" s="265"/>
      <c r="D80" s="265"/>
      <c r="E80" s="265"/>
      <c r="F80" s="265"/>
      <c r="G80" s="265"/>
      <c r="H80" s="291" t="s">
        <v>7</v>
      </c>
    </row>
    <row r="81" spans="2:8" ht="25.5" x14ac:dyDescent="0.2">
      <c r="B81" s="251" t="s">
        <v>632</v>
      </c>
      <c r="C81" s="265"/>
      <c r="D81" s="265"/>
      <c r="E81" s="265"/>
      <c r="F81" s="265"/>
      <c r="G81" s="265"/>
      <c r="H81" s="291" t="s">
        <v>7</v>
      </c>
    </row>
    <row r="82" spans="2:8" ht="38.25" x14ac:dyDescent="0.2">
      <c r="B82" s="251" t="s">
        <v>633</v>
      </c>
      <c r="C82" s="280" t="s">
        <v>7</v>
      </c>
      <c r="D82" s="280" t="s">
        <v>7</v>
      </c>
      <c r="E82" s="280" t="s">
        <v>7</v>
      </c>
      <c r="F82" s="280" t="s">
        <v>7</v>
      </c>
      <c r="G82" s="280" t="s">
        <v>7</v>
      </c>
      <c r="H82" s="282"/>
    </row>
    <row r="83" spans="2:8" ht="25.5" x14ac:dyDescent="0.2">
      <c r="B83" s="251" t="s">
        <v>634</v>
      </c>
      <c r="C83" s="280" t="s">
        <v>7</v>
      </c>
      <c r="D83" s="280" t="s">
        <v>7</v>
      </c>
      <c r="E83" s="280" t="s">
        <v>7</v>
      </c>
      <c r="F83" s="280" t="s">
        <v>7</v>
      </c>
      <c r="G83" s="280" t="s">
        <v>7</v>
      </c>
      <c r="H83" s="282"/>
    </row>
    <row r="84" spans="2:8" ht="25.5" x14ac:dyDescent="0.2">
      <c r="B84" s="251" t="s">
        <v>671</v>
      </c>
      <c r="C84" s="280" t="s">
        <v>7</v>
      </c>
      <c r="D84" s="280" t="s">
        <v>7</v>
      </c>
      <c r="E84" s="280" t="s">
        <v>7</v>
      </c>
      <c r="F84" s="280" t="s">
        <v>7</v>
      </c>
      <c r="G84" s="280" t="s">
        <v>7</v>
      </c>
      <c r="H84" s="282"/>
    </row>
    <row r="85" spans="2:8" ht="25.5" x14ac:dyDescent="0.2">
      <c r="B85" s="251" t="s">
        <v>672</v>
      </c>
      <c r="C85" s="280" t="s">
        <v>7</v>
      </c>
      <c r="D85" s="280" t="s">
        <v>7</v>
      </c>
      <c r="E85" s="280" t="s">
        <v>7</v>
      </c>
      <c r="F85" s="280" t="s">
        <v>7</v>
      </c>
      <c r="G85" s="280" t="s">
        <v>7</v>
      </c>
      <c r="H85" s="282"/>
    </row>
    <row r="86" spans="2:8" ht="25.5" x14ac:dyDescent="0.2">
      <c r="B86" s="251" t="s">
        <v>673</v>
      </c>
      <c r="C86" s="280" t="s">
        <v>7</v>
      </c>
      <c r="D86" s="280" t="s">
        <v>7</v>
      </c>
      <c r="E86" s="280" t="s">
        <v>7</v>
      </c>
      <c r="F86" s="280" t="s">
        <v>7</v>
      </c>
      <c r="G86" s="280" t="s">
        <v>7</v>
      </c>
      <c r="H86" s="282"/>
    </row>
    <row r="87" spans="2:8" ht="25.5" x14ac:dyDescent="0.2">
      <c r="B87" s="251" t="s">
        <v>674</v>
      </c>
      <c r="C87" s="280" t="s">
        <v>7</v>
      </c>
      <c r="D87" s="280" t="s">
        <v>7</v>
      </c>
      <c r="E87" s="280" t="s">
        <v>7</v>
      </c>
      <c r="F87" s="280" t="s">
        <v>7</v>
      </c>
      <c r="G87" s="280" t="s">
        <v>7</v>
      </c>
      <c r="H87" s="282"/>
    </row>
    <row r="88" spans="2:8" ht="25.5" x14ac:dyDescent="0.2">
      <c r="B88" s="251" t="s">
        <v>644</v>
      </c>
      <c r="C88" s="265"/>
      <c r="D88" s="265"/>
      <c r="E88" s="265"/>
      <c r="F88" s="265"/>
      <c r="G88" s="265"/>
      <c r="H88" s="282"/>
    </row>
    <row r="89" spans="2:8" x14ac:dyDescent="0.2">
      <c r="B89" s="251" t="s">
        <v>645</v>
      </c>
      <c r="C89" s="265"/>
      <c r="D89" s="265"/>
      <c r="E89" s="265"/>
      <c r="F89" s="265"/>
      <c r="G89" s="265"/>
      <c r="H89" s="282"/>
    </row>
    <row r="90" spans="2:8" ht="25.5" x14ac:dyDescent="0.2">
      <c r="B90" s="251" t="s">
        <v>646</v>
      </c>
      <c r="C90" s="280" t="s">
        <v>7</v>
      </c>
      <c r="D90" s="280" t="s">
        <v>7</v>
      </c>
      <c r="E90" s="280" t="s">
        <v>7</v>
      </c>
      <c r="F90" s="280" t="s">
        <v>7</v>
      </c>
      <c r="G90" s="280" t="s">
        <v>7</v>
      </c>
      <c r="H90" s="282"/>
    </row>
    <row r="91" spans="2:8" ht="25.5" x14ac:dyDescent="0.2">
      <c r="B91" s="251" t="s">
        <v>647</v>
      </c>
      <c r="C91" s="265"/>
      <c r="D91" s="265"/>
      <c r="E91" s="265"/>
      <c r="F91" s="265"/>
      <c r="G91" s="265"/>
      <c r="H91" s="282"/>
    </row>
    <row r="92" spans="2:8" ht="25.5" x14ac:dyDescent="0.2">
      <c r="B92" s="251" t="s">
        <v>648</v>
      </c>
      <c r="C92" s="280" t="s">
        <v>7</v>
      </c>
      <c r="D92" s="280" t="s">
        <v>7</v>
      </c>
      <c r="E92" s="280" t="s">
        <v>7</v>
      </c>
      <c r="F92" s="280" t="s">
        <v>7</v>
      </c>
      <c r="G92" s="280" t="s">
        <v>7</v>
      </c>
      <c r="H92" s="282"/>
    </row>
    <row r="93" spans="2:8" x14ac:dyDescent="0.2">
      <c r="B93" s="251" t="s">
        <v>649</v>
      </c>
      <c r="C93" s="265"/>
      <c r="D93" s="265"/>
      <c r="E93" s="265"/>
      <c r="F93" s="265"/>
      <c r="G93" s="265"/>
      <c r="H93" s="282"/>
    </row>
    <row r="94" spans="2:8" x14ac:dyDescent="0.2">
      <c r="B94" s="251" t="s">
        <v>650</v>
      </c>
      <c r="C94" s="265"/>
      <c r="D94" s="265"/>
      <c r="E94" s="265"/>
      <c r="F94" s="265"/>
      <c r="G94" s="265"/>
      <c r="H94" s="291" t="s">
        <v>7</v>
      </c>
    </row>
    <row r="95" spans="2:8" ht="38.25" x14ac:dyDescent="0.2">
      <c r="B95" s="251" t="s">
        <v>675</v>
      </c>
      <c r="C95" s="265"/>
      <c r="D95" s="265"/>
      <c r="E95" s="265"/>
      <c r="F95" s="265"/>
      <c r="G95" s="265"/>
      <c r="H95" s="282"/>
    </row>
    <row r="96" spans="2:8" ht="25.5" x14ac:dyDescent="0.2">
      <c r="B96" s="251" t="s">
        <v>651</v>
      </c>
      <c r="C96" s="265"/>
      <c r="D96" s="265"/>
      <c r="E96" s="265"/>
      <c r="F96" s="265"/>
      <c r="G96" s="265"/>
      <c r="H96" s="291" t="s">
        <v>7</v>
      </c>
    </row>
    <row r="97" spans="2:8" ht="25.5" x14ac:dyDescent="0.2">
      <c r="B97" s="251" t="s">
        <v>652</v>
      </c>
      <c r="C97" s="265"/>
      <c r="D97" s="265"/>
      <c r="E97" s="265"/>
      <c r="F97" s="265"/>
      <c r="G97" s="265"/>
      <c r="H97" s="291" t="s">
        <v>7</v>
      </c>
    </row>
    <row r="98" spans="2:8" ht="25.5" x14ac:dyDescent="0.2">
      <c r="B98" s="251" t="s">
        <v>653</v>
      </c>
      <c r="C98" s="280" t="s">
        <v>7</v>
      </c>
      <c r="D98" s="280" t="s">
        <v>7</v>
      </c>
      <c r="E98" s="280" t="s">
        <v>7</v>
      </c>
      <c r="F98" s="280" t="s">
        <v>7</v>
      </c>
      <c r="G98" s="280" t="s">
        <v>7</v>
      </c>
      <c r="H98" s="282"/>
    </row>
    <row r="99" spans="2:8" ht="25.5" x14ac:dyDescent="0.2">
      <c r="B99" s="251" t="s">
        <v>654</v>
      </c>
      <c r="C99" s="265"/>
      <c r="D99" s="265"/>
      <c r="E99" s="265"/>
      <c r="F99" s="265"/>
      <c r="G99" s="265"/>
      <c r="H99" s="291" t="s">
        <v>7</v>
      </c>
    </row>
    <row r="100" spans="2:8" x14ac:dyDescent="0.2">
      <c r="B100" s="251" t="s">
        <v>635</v>
      </c>
      <c r="C100" s="280" t="s">
        <v>7</v>
      </c>
      <c r="D100" s="280" t="s">
        <v>7</v>
      </c>
      <c r="E100" s="280" t="s">
        <v>7</v>
      </c>
      <c r="F100" s="280" t="s">
        <v>7</v>
      </c>
      <c r="G100" s="280" t="s">
        <v>7</v>
      </c>
      <c r="H100" s="282"/>
    </row>
    <row r="101" spans="2:8" ht="25.5" x14ac:dyDescent="0.2">
      <c r="B101" s="251" t="s">
        <v>655</v>
      </c>
      <c r="C101" s="280" t="s">
        <v>7</v>
      </c>
      <c r="D101" s="280" t="s">
        <v>7</v>
      </c>
      <c r="E101" s="280" t="s">
        <v>7</v>
      </c>
      <c r="F101" s="280" t="s">
        <v>7</v>
      </c>
      <c r="G101" s="280" t="s">
        <v>7</v>
      </c>
      <c r="H101" s="282"/>
    </row>
    <row r="102" spans="2:8" ht="25.5" x14ac:dyDescent="0.2">
      <c r="B102" s="251" t="s">
        <v>676</v>
      </c>
      <c r="C102" s="265"/>
      <c r="D102" s="265"/>
      <c r="E102" s="265"/>
      <c r="F102" s="265"/>
      <c r="G102" s="265"/>
      <c r="H102" s="291" t="s">
        <v>7</v>
      </c>
    </row>
    <row r="103" spans="2:8" ht="25.5" x14ac:dyDescent="0.2">
      <c r="B103" s="251" t="s">
        <v>636</v>
      </c>
      <c r="C103" s="265"/>
      <c r="D103" s="265"/>
      <c r="E103" s="265"/>
      <c r="F103" s="265"/>
      <c r="G103" s="265"/>
      <c r="H103" s="291" t="s">
        <v>7</v>
      </c>
    </row>
    <row r="104" spans="2:8" ht="38.25" x14ac:dyDescent="0.2">
      <c r="B104" s="251" t="s">
        <v>677</v>
      </c>
      <c r="C104" s="265"/>
      <c r="D104" s="265"/>
      <c r="E104" s="265"/>
      <c r="F104" s="265"/>
      <c r="G104" s="265"/>
      <c r="H104" s="282"/>
    </row>
    <row r="105" spans="2:8" x14ac:dyDescent="0.2">
      <c r="B105" s="251" t="s">
        <v>637</v>
      </c>
      <c r="C105" s="265"/>
      <c r="D105" s="265"/>
      <c r="E105" s="265"/>
      <c r="F105" s="265"/>
      <c r="G105" s="265"/>
      <c r="H105" s="282"/>
    </row>
    <row r="106" spans="2:8" ht="25.5" x14ac:dyDescent="0.2">
      <c r="B106" s="251" t="s">
        <v>678</v>
      </c>
      <c r="C106" s="265"/>
      <c r="D106" s="265"/>
      <c r="E106" s="265"/>
      <c r="F106" s="265"/>
      <c r="G106" s="265"/>
      <c r="H106" s="291" t="s">
        <v>7</v>
      </c>
    </row>
    <row r="107" spans="2:8" x14ac:dyDescent="0.2">
      <c r="B107" s="251" t="s">
        <v>638</v>
      </c>
      <c r="C107" s="265"/>
      <c r="D107" s="265"/>
      <c r="E107" s="265"/>
      <c r="F107" s="265"/>
      <c r="G107" s="265"/>
      <c r="H107" s="291" t="s">
        <v>7</v>
      </c>
    </row>
    <row r="108" spans="2:8" ht="25.5" x14ac:dyDescent="0.2">
      <c r="B108" s="251" t="s">
        <v>679</v>
      </c>
      <c r="C108" s="303"/>
      <c r="D108" s="303"/>
      <c r="E108" s="303"/>
      <c r="F108" s="303"/>
      <c r="G108" s="303"/>
      <c r="H108" s="307"/>
    </row>
    <row r="109" spans="2:8" ht="26.25" thickBot="1" x14ac:dyDescent="0.25">
      <c r="B109" s="252" t="s">
        <v>680</v>
      </c>
      <c r="C109" s="308"/>
      <c r="D109" s="308"/>
      <c r="E109" s="308"/>
      <c r="F109" s="308"/>
      <c r="G109" s="308"/>
      <c r="H109" s="309"/>
    </row>
    <row r="110" spans="2:8" ht="12" customHeight="1" thickBot="1" x14ac:dyDescent="0.25"/>
    <row r="111" spans="2:8" ht="12" customHeight="1" x14ac:dyDescent="0.2">
      <c r="B111" s="362" t="s">
        <v>656</v>
      </c>
      <c r="C111" s="363"/>
      <c r="D111" s="363"/>
      <c r="E111" s="363"/>
      <c r="F111" s="363"/>
      <c r="G111" s="363"/>
      <c r="H111" s="364"/>
    </row>
    <row r="112" spans="2:8" ht="12" customHeight="1" x14ac:dyDescent="0.2">
      <c r="B112" s="253"/>
      <c r="C112" s="278" t="str">
        <f>+C67</f>
        <v>N/A</v>
      </c>
      <c r="D112" s="278" t="str">
        <f t="shared" ref="D112:H112" si="4">+D67</f>
        <v>N/A</v>
      </c>
      <c r="E112" s="278" t="str">
        <f t="shared" si="4"/>
        <v>N/A</v>
      </c>
      <c r="F112" s="278" t="str">
        <f t="shared" si="4"/>
        <v>N/A</v>
      </c>
      <c r="G112" s="278" t="str">
        <f t="shared" si="4"/>
        <v>N/A</v>
      </c>
      <c r="H112" s="279" t="str">
        <f t="shared" si="4"/>
        <v>N/A</v>
      </c>
    </row>
    <row r="113" spans="2:8" x14ac:dyDescent="0.2">
      <c r="B113" s="251" t="s">
        <v>530</v>
      </c>
      <c r="C113" s="265"/>
      <c r="D113" s="265"/>
      <c r="E113" s="265"/>
      <c r="F113" s="265"/>
      <c r="G113" s="265"/>
      <c r="H113" s="282"/>
    </row>
    <row r="114" spans="2:8" x14ac:dyDescent="0.2">
      <c r="B114" s="251" t="s">
        <v>531</v>
      </c>
      <c r="C114" s="265"/>
      <c r="D114" s="265"/>
      <c r="E114" s="265"/>
      <c r="F114" s="265"/>
      <c r="G114" s="265"/>
      <c r="H114" s="282"/>
    </row>
    <row r="115" spans="2:8" x14ac:dyDescent="0.2">
      <c r="B115" s="251" t="s">
        <v>532</v>
      </c>
      <c r="C115" s="265"/>
      <c r="D115" s="265"/>
      <c r="E115" s="265"/>
      <c r="F115" s="265"/>
      <c r="G115" s="265"/>
      <c r="H115" s="282"/>
    </row>
    <row r="116" spans="2:8" x14ac:dyDescent="0.2">
      <c r="B116" s="251" t="s">
        <v>533</v>
      </c>
      <c r="C116" s="265"/>
      <c r="D116" s="265"/>
      <c r="E116" s="265"/>
      <c r="F116" s="265"/>
      <c r="G116" s="265"/>
      <c r="H116" s="282"/>
    </row>
    <row r="117" spans="2:8" x14ac:dyDescent="0.2">
      <c r="B117" s="251" t="s">
        <v>534</v>
      </c>
      <c r="C117" s="265"/>
      <c r="D117" s="265"/>
      <c r="E117" s="265"/>
      <c r="F117" s="265"/>
      <c r="G117" s="265"/>
      <c r="H117" s="282"/>
    </row>
    <row r="118" spans="2:8" x14ac:dyDescent="0.2">
      <c r="B118" s="251" t="s">
        <v>535</v>
      </c>
      <c r="C118" s="265"/>
      <c r="D118" s="265"/>
      <c r="E118" s="265"/>
      <c r="F118" s="265"/>
      <c r="G118" s="265"/>
      <c r="H118" s="282"/>
    </row>
    <row r="119" spans="2:8" ht="26.25" thickBot="1" x14ac:dyDescent="0.25">
      <c r="B119" s="252" t="s">
        <v>528</v>
      </c>
      <c r="C119" s="300"/>
      <c r="D119" s="300"/>
      <c r="E119" s="300"/>
      <c r="F119" s="300"/>
      <c r="G119" s="300"/>
      <c r="H119" s="298"/>
    </row>
    <row r="120" spans="2:8" x14ac:dyDescent="0.2"/>
    <row r="121" spans="2:8" hidden="1" x14ac:dyDescent="0.2"/>
    <row r="122" spans="2:8" hidden="1" x14ac:dyDescent="0.2"/>
    <row r="123" spans="2:8" hidden="1" x14ac:dyDescent="0.2"/>
  </sheetData>
  <sheetProtection algorithmName="SHA-512" hashValue="DyPUK96BqKaiYt9otZlFC3CfubgpPUkh06vsqmHUqsJSyCGmfkXekJqdwP5pk4JVh6p0dXF5kz+e7FyR7rcxYA==" saltValue="do/cq7dkn5RfwOTfXD0cqg==" spinCount="100000" sheet="1" objects="1" scenarios="1" selectLockedCells="1"/>
  <dataConsolidate/>
  <mergeCells count="10">
    <mergeCell ref="B111:H111"/>
    <mergeCell ref="B2:J2"/>
    <mergeCell ref="B66:H66"/>
    <mergeCell ref="B36:H36"/>
    <mergeCell ref="B49:H49"/>
    <mergeCell ref="B6:J6"/>
    <mergeCell ref="C7:D7"/>
    <mergeCell ref="B17:C17"/>
    <mergeCell ref="E17:F17"/>
    <mergeCell ref="B27:H27"/>
  </mergeCells>
  <dataValidations xWindow="310" yWindow="218" count="24">
    <dataValidation type="list" allowBlank="1" showInputMessage="1" showErrorMessage="1" error="Please select only items that appears on the list. " prompt="Please select one item of the list. Please don’t repeat an item that you already use. " sqref="E8:I8">
      <formula1>SECTION</formula1>
    </dataValidation>
    <dataValidation type="list" allowBlank="1" showInputMessage="1" showErrorMessage="1" error="Please select only items that appears on the list." prompt="Please select the day when mobilization starts. " sqref="F19">
      <formula1>DATE</formula1>
    </dataValidation>
    <dataValidation allowBlank="1" showInputMessage="1" showErrorMessage="1" prompt="Please enter the year when the project is going to start. FORMAT: YYYY" sqref="C4"/>
    <dataValidation type="list" allowBlank="1" showInputMessage="1" showErrorMessage="1" error="Please select only items that appears on the list." prompt="Please select the day when civil works starts." sqref="C19">
      <formula1>DATE</formula1>
    </dataValidation>
    <dataValidation type="decimal" allowBlank="1" showInputMessage="1" showErrorMessage="1" error="Please in this box only enter the duration in decimal numbers. " prompt="Please enter the duration in days for the flat time of the project. " sqref="C14:J14">
      <formula1>0</formula1>
      <formula2>1000</formula2>
    </dataValidation>
    <dataValidation type="decimal" allowBlank="1" showInputMessage="1" showErrorMessage="1" error="Please in this box only enter the duration in decimal numbers. " prompt="Please enter the duration in days for the drilling time of the project. " sqref="E13:I13">
      <formula1>0</formula1>
      <formula2>1000</formula2>
    </dataValidation>
    <dataValidation type="list" allowBlank="1" showInputMessage="1" showErrorMessage="1" error="Please select only items that appears on the list." prompt="Please select one item of the list. Please don’t repeat an item that you already use." sqref="E9:I9">
      <formula1>DIAMETERS</formula1>
    </dataValidation>
    <dataValidation type="list" allowBlank="1" showInputMessage="1" showErrorMessage="1" prompt="Please select the diameter of the Casing / liner or tubing. " sqref="E10:J10">
      <formula1>DIAMETERS_TUBE</formula1>
    </dataValidation>
    <dataValidation type="decimal" allowBlank="1" showInputMessage="1" showErrorMessage="1" error="Please in this box only enter the depth in decimal numbers. " prompt="Please enter the planned target depth of the phase in numbers." sqref="E11:I11">
      <formula1>0</formula1>
      <formula2>50000</formula2>
    </dataValidation>
    <dataValidation allowBlank="1" showInputMessage="1" showErrorMessage="1" prompt="Please write the geological target. " sqref="E12:J12"/>
    <dataValidation type="list" allowBlank="1" showInputMessage="1" showErrorMessage="1" error="Please only select items of the list." prompt="Please select the type of liner hanger to use." sqref="C59:H59">
      <formula1>HANGER</formula1>
    </dataValidation>
    <dataValidation type="list" allowBlank="1" showInputMessage="1" showErrorMessage="1" error="Please only select items of the list" prompt="Please select the type of packer to use." sqref="H62">
      <formula1>PACKER</formula1>
    </dataValidation>
    <dataValidation type="list" allowBlank="1" showInputMessage="1" showErrorMessage="1" sqref="H77">
      <formula1>YESORNO</formula1>
    </dataValidation>
    <dataValidation type="list" allowBlank="1" showInputMessage="1" showErrorMessage="1" error="Please only select items of the list" prompt="Please select the location in which are going to inspect the used pipe. " sqref="C91:H91">
      <formula1>PLACE</formula1>
    </dataValidation>
    <dataValidation type="decimal" allowBlank="1" showInputMessage="1" showErrorMessage="1" error="Please enter only numbers." prompt="Please enter the value of the service. " sqref="C20:C25">
      <formula1>0</formula1>
      <formula2>999999999</formula2>
    </dataValidation>
    <dataValidation type="list" allowBlank="1" showInputMessage="1" showErrorMessage="1" error="Please only select items of the list." prompt="Please select the percentage of bonus (this percentage affect the entire variable costs)." sqref="C108:H109">
      <formula1>PORCENTAGE</formula1>
    </dataValidation>
    <dataValidation type="decimal" allowBlank="1" showInputMessage="1" showErrorMessage="1" error="Please enter only numbers." prompt="Please enter the value of the service. " sqref="F20">
      <formula1>0</formula1>
      <formula2>99999999</formula2>
    </dataValidation>
    <dataValidation type="decimal" allowBlank="1" showInputMessage="1" showErrorMessage="1" error="Please enter only numbers." prompt="Please type the number of days for the associated service of the line description. " sqref="C29:H31 C72:H74 C81:G81 H83 H85 H87">
      <formula1>0</formula1>
      <formula2>999999999</formula2>
    </dataValidation>
    <dataValidation type="decimal" allowBlank="1" showInputMessage="1" showErrorMessage="1" error="Please enter only numbers." prompt="Please enter the price of the associated description line in USD without VAT." sqref="C32:H32 C34:H34 C58:H58 C119:H119">
      <formula1>0</formula1>
      <formula2>9999999</formula2>
    </dataValidation>
    <dataValidation type="decimal" allowBlank="1" showInputMessage="1" showErrorMessage="1" error="Please enter only numbers." prompt="Please type the quantity that you required for the associated service of the line description." sqref="C38:G39 H39 C57:H57 H64">
      <formula1>0</formula1>
      <formula2>999999999</formula2>
    </dataValidation>
    <dataValidation type="whole" allowBlank="1" showInputMessage="1" showErrorMessage="1" error="Please enter only whole numbers." prompt="Please type the quantity that you required for the associated service of the line description." sqref="C33:H33 C61:G61 C93:H93 C95:H95 C96:G97 C99:G99 C103:G103 C113:H118">
      <formula1>0</formula1>
      <formula2>999999999</formula2>
    </dataValidation>
    <dataValidation type="list" allowBlank="1" showInputMessage="1" showErrorMessage="1" error="Please select only list numbers." prompt="Please select the quantity that you required for the associated service of the line description." sqref="C41:G41 C43:G43 C45:G45 C47:G47 C68:H71 C102:G102 C104:H104">
      <formula1>QTY</formula1>
    </dataValidation>
    <dataValidation type="list" allowBlank="1" showInputMessage="1" showErrorMessage="1" error="Please only select item of the list. " prompt="Please select the modality of use of the tangible consumable (Bits)." sqref="C40:G40 C42:G42 C44:G44 C46:G46">
      <formula1>BITS</formula1>
    </dataValidation>
    <dataValidation type="list" allowBlank="1" showInputMessage="1" showErrorMessage="1" error="Please only select items of the list. " prompt="Please select if you require or not the associated service of the line description. " sqref="C51:H54 H55:H56 C60:G60 H63 C75:G80 H82 H84 H86 C88:H89 H90 H92 C94:G94 H98 H100:H101 C105:H105 C106:G107">
      <formula1>YESORNO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headerFooter>
    <oddFooter>&amp;C&amp;F
&amp;P de &amp;N
Well Cost Estimation tool V1.0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N135"/>
  <sheetViews>
    <sheetView showGridLines="0" showRowColHeaders="0" zoomScale="80" zoomScaleNormal="80" workbookViewId="0">
      <pane ySplit="3" topLeftCell="A4" activePane="bottomLeft" state="frozenSplit"/>
      <selection pane="bottomLeft"/>
    </sheetView>
  </sheetViews>
  <sheetFormatPr baseColWidth="10" defaultColWidth="0" defaultRowHeight="12.75" zeroHeight="1" x14ac:dyDescent="0.2"/>
  <cols>
    <col min="1" max="1" width="2" style="94" customWidth="1"/>
    <col min="2" max="2" width="4.85546875" style="28" bestFit="1" customWidth="1"/>
    <col min="3" max="3" width="39.5703125" style="97" customWidth="1"/>
    <col min="4" max="4" width="8.42578125" style="94" bestFit="1" customWidth="1"/>
    <col min="5" max="5" width="13" style="19" customWidth="1"/>
    <col min="6" max="6" width="14" style="19" customWidth="1"/>
    <col min="7" max="11" width="14.28515625" style="19" customWidth="1"/>
    <col min="12" max="13" width="13.5703125" style="19" bestFit="1" customWidth="1"/>
    <col min="14" max="14" width="2" style="94" customWidth="1"/>
    <col min="15" max="16384" width="11.42578125" style="94" hidden="1"/>
  </cols>
  <sheetData>
    <row r="1" spans="1:13" ht="9.75" customHeight="1" thickBot="1" x14ac:dyDescent="0.25">
      <c r="A1" s="230" t="str">
        <f ca="1">+MENU!D5</f>
        <v>Well cost tool empty_150614_2131.</v>
      </c>
    </row>
    <row r="2" spans="1:13" ht="45" customHeight="1" thickBot="1" x14ac:dyDescent="0.25">
      <c r="B2" s="370" t="s">
        <v>690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2"/>
    </row>
    <row r="3" spans="1:13" x14ac:dyDescent="0.2">
      <c r="B3" s="198"/>
      <c r="C3" s="199"/>
      <c r="D3" s="200" t="str">
        <f>+'AFE DETAILED'!D4</f>
        <v xml:space="preserve">SECTION </v>
      </c>
      <c r="E3" s="201" t="str">
        <f>+IF('AFE DETAILED'!K4="n/a","",'AFE DETAILED'!K4)</f>
        <v xml:space="preserve">CIVIL WORKS </v>
      </c>
      <c r="F3" s="201" t="str">
        <f>+IF('AFE DETAILED'!L4="n/a","",'AFE DETAILED'!L4)</f>
        <v xml:space="preserve">MOBILIZATION </v>
      </c>
      <c r="G3" s="201" t="str">
        <f>+IF('AFE DETAILED'!M4="n/a","",'AFE DETAILED'!M4)</f>
        <v/>
      </c>
      <c r="H3" s="201" t="str">
        <f>+IF('AFE DETAILED'!N4="n/a","",'AFE DETAILED'!N4)</f>
        <v/>
      </c>
      <c r="I3" s="201" t="str">
        <f>+IF('AFE DETAILED'!O4="n/a","",'AFE DETAILED'!O4)</f>
        <v/>
      </c>
      <c r="J3" s="201" t="str">
        <f>+IF('AFE DETAILED'!P4="n/a","",'AFE DETAILED'!P4)</f>
        <v/>
      </c>
      <c r="K3" s="201" t="str">
        <f>+IF('AFE DETAILED'!Q4="n/a","",'AFE DETAILED'!Q4)</f>
        <v/>
      </c>
      <c r="L3" s="201" t="str">
        <f>+IF('AFE DETAILED'!R4="n/a","",'AFE DETAILED'!R4)</f>
        <v/>
      </c>
      <c r="M3" s="202" t="str">
        <f>+IF('AFE DETAILED'!S4="n/a","",'AFE DETAILED'!T4)</f>
        <v xml:space="preserve">TOTAL </v>
      </c>
    </row>
    <row r="4" spans="1:13" x14ac:dyDescent="0.2">
      <c r="A4" s="247"/>
      <c r="B4" s="183"/>
      <c r="C4" s="113"/>
      <c r="D4" s="115" t="str">
        <f>+'AFE DETAILED'!D5</f>
        <v xml:space="preserve">DIAMETER CASING, LINER OR TUBING </v>
      </c>
      <c r="E4" s="98" t="str">
        <f>+IF(E3="","",'AFE DETAILED'!K5)</f>
        <v xml:space="preserve">CIVIL WORKS </v>
      </c>
      <c r="F4" s="98" t="str">
        <f>+IF(F3="","",'AFE DETAILED'!L5)</f>
        <v xml:space="preserve">MOBILIZATION </v>
      </c>
      <c r="G4" s="98" t="str">
        <f>+IF(G3="","",'AFE DETAILED'!M5)</f>
        <v/>
      </c>
      <c r="H4" s="98" t="str">
        <f>+IF(H3="","",'AFE DETAILED'!N5)</f>
        <v/>
      </c>
      <c r="I4" s="98" t="str">
        <f>+IF(I3="","",'AFE DETAILED'!O5)</f>
        <v/>
      </c>
      <c r="J4" s="98" t="str">
        <f>+IF(J3="","",'AFE DETAILED'!P5)</f>
        <v/>
      </c>
      <c r="K4" s="98" t="str">
        <f>+IF(K3="","",'AFE DETAILED'!Q5)</f>
        <v/>
      </c>
      <c r="L4" s="98" t="str">
        <f>+IF(L3="","",'AFE DETAILED'!R5)</f>
        <v/>
      </c>
      <c r="M4" s="184" t="str">
        <f>+IF(M3="","",'AFE DETAILED'!T5)</f>
        <v>-</v>
      </c>
    </row>
    <row r="5" spans="1:13" x14ac:dyDescent="0.2">
      <c r="B5" s="183"/>
      <c r="C5" s="113"/>
      <c r="D5" s="115" t="str">
        <f>+'AFE DETAILED'!D6</f>
        <v>DAY START</v>
      </c>
      <c r="E5" s="116">
        <f>+IF(E3="","",'AFE DETAILED'!K7)</f>
        <v>0</v>
      </c>
      <c r="F5" s="116">
        <f>+IF(F3="","",'AFE DETAILED'!L7)</f>
        <v>0</v>
      </c>
      <c r="G5" s="116" t="str">
        <f>+IF(G3="","",'AFE DETAILED'!M7)</f>
        <v/>
      </c>
      <c r="H5" s="116" t="str">
        <f>+IF(H3="","",'AFE DETAILED'!N7)</f>
        <v/>
      </c>
      <c r="I5" s="116" t="str">
        <f>+IF(I3="","",'AFE DETAILED'!O7)</f>
        <v/>
      </c>
      <c r="J5" s="116" t="str">
        <f>+IF(J3="","",'AFE DETAILED'!P7)</f>
        <v/>
      </c>
      <c r="K5" s="116" t="str">
        <f>+IF(K3="","",'AFE DETAILED'!Q7)</f>
        <v/>
      </c>
      <c r="L5" s="116" t="str">
        <f>+IF(L3="","",'AFE DETAILED'!R7)</f>
        <v/>
      </c>
      <c r="M5" s="185">
        <f>+E5</f>
        <v>0</v>
      </c>
    </row>
    <row r="6" spans="1:13" x14ac:dyDescent="0.2">
      <c r="B6" s="183"/>
      <c r="C6" s="113"/>
      <c r="D6" s="115" t="s">
        <v>518</v>
      </c>
      <c r="E6" s="116">
        <f>+IF(E3="","",E5+'AFE DETAILED'!K9)</f>
        <v>0</v>
      </c>
      <c r="F6" s="116">
        <f>+IF(F3="","",F5+'AFE DETAILED'!L9)</f>
        <v>0</v>
      </c>
      <c r="G6" s="116" t="str">
        <f>+IF(G3="","",G5+'AFE DETAILED'!M8+'AFE DETAILED'!M9)</f>
        <v/>
      </c>
      <c r="H6" s="116" t="str">
        <f>+IF(H3="","",H5+'AFE DETAILED'!N8+'AFE DETAILED'!N9)</f>
        <v/>
      </c>
      <c r="I6" s="116" t="str">
        <f>+IF(I3="","",I5+'AFE DETAILED'!O8+'AFE DETAILED'!O9)</f>
        <v/>
      </c>
      <c r="J6" s="116" t="str">
        <f>+IF(J3="","",J5+'AFE DETAILED'!P8+'AFE DETAILED'!P9)</f>
        <v/>
      </c>
      <c r="K6" s="116" t="str">
        <f>+IF(K3="","",K5+'AFE DETAILED'!Q8+'AFE DETAILED'!Q9)</f>
        <v/>
      </c>
      <c r="L6" s="116" t="str">
        <f>+IF(L3="","",L5+'AFE DETAILED'!R9)</f>
        <v/>
      </c>
      <c r="M6" s="185" t="str">
        <f>+L6</f>
        <v/>
      </c>
    </row>
    <row r="7" spans="1:13" x14ac:dyDescent="0.2">
      <c r="B7" s="183"/>
      <c r="C7" s="113"/>
      <c r="D7" s="115" t="str">
        <f>+'AFE DETAILED'!D8</f>
        <v>DRILLING TIME</v>
      </c>
      <c r="E7" s="98" t="str">
        <f>+IF(E3="","",'AFE DETAILED'!K8)</f>
        <v>N/A</v>
      </c>
      <c r="F7" s="98" t="str">
        <f>+IF(F3="","",'AFE DETAILED'!L8)</f>
        <v>N/A</v>
      </c>
      <c r="G7" s="117" t="str">
        <f>+IF(G3="","",'AFE DETAILED'!M8)</f>
        <v/>
      </c>
      <c r="H7" s="117" t="str">
        <f>+IF(H3="","",'AFE DETAILED'!N8)</f>
        <v/>
      </c>
      <c r="I7" s="117" t="str">
        <f>+IF(I3="","",'AFE DETAILED'!O8)</f>
        <v/>
      </c>
      <c r="J7" s="117" t="str">
        <f>+IF(J3="","",'AFE DETAILED'!P8)</f>
        <v/>
      </c>
      <c r="K7" s="117" t="str">
        <f>+IF(K3="","",'AFE DETAILED'!Q8)</f>
        <v/>
      </c>
      <c r="L7" s="98" t="str">
        <f>+IF(L3="","",'AFE DETAILED'!R8)</f>
        <v/>
      </c>
      <c r="M7" s="186">
        <f>+SUM(E7:L7)</f>
        <v>0</v>
      </c>
    </row>
    <row r="8" spans="1:13" x14ac:dyDescent="0.2">
      <c r="B8" s="183"/>
      <c r="C8" s="113"/>
      <c r="D8" s="115" t="str">
        <f>+'AFE DETAILED'!D9</f>
        <v>FLAT TIME</v>
      </c>
      <c r="E8" s="117">
        <f>+IF(E3="","",'AFE DETAILED'!K9)</f>
        <v>0</v>
      </c>
      <c r="F8" s="117">
        <f>+IF(F3="","",'AFE DETAILED'!L9)</f>
        <v>0</v>
      </c>
      <c r="G8" s="117" t="str">
        <f>+IF(G3="","",'AFE DETAILED'!M9)</f>
        <v/>
      </c>
      <c r="H8" s="117" t="str">
        <f>+IF(H3="","",'AFE DETAILED'!N9)</f>
        <v/>
      </c>
      <c r="I8" s="117" t="str">
        <f>+IF(I3="","",'AFE DETAILED'!O9)</f>
        <v/>
      </c>
      <c r="J8" s="117" t="str">
        <f>+IF(J3="","",'AFE DETAILED'!P9)</f>
        <v/>
      </c>
      <c r="K8" s="117" t="str">
        <f>+IF(K3="","",'AFE DETAILED'!Q9)</f>
        <v/>
      </c>
      <c r="L8" s="117" t="str">
        <f>+IF(L3="","",'AFE DETAILED'!R9)</f>
        <v/>
      </c>
      <c r="M8" s="186">
        <f>+SUM(E8:L8)</f>
        <v>0</v>
      </c>
    </row>
    <row r="9" spans="1:13" x14ac:dyDescent="0.2">
      <c r="B9" s="183"/>
      <c r="C9" s="113"/>
      <c r="D9" s="115" t="str">
        <f>+'AFE DETAILED'!D10</f>
        <v xml:space="preserve">TOTAL CUMULATIVE  TIME FOR OPERATION ONLY </v>
      </c>
      <c r="E9" s="117">
        <v>0</v>
      </c>
      <c r="F9" s="117">
        <v>0</v>
      </c>
      <c r="G9" s="117" t="str">
        <f>+IF(G3="","",G8+G7+F9)</f>
        <v/>
      </c>
      <c r="H9" s="117" t="str">
        <f t="shared" ref="H9:K9" si="0">+IF(H3="","",H8+H7+G9)</f>
        <v/>
      </c>
      <c r="I9" s="117" t="str">
        <f t="shared" si="0"/>
        <v/>
      </c>
      <c r="J9" s="117" t="str">
        <f t="shared" si="0"/>
        <v/>
      </c>
      <c r="K9" s="117" t="str">
        <f t="shared" si="0"/>
        <v/>
      </c>
      <c r="L9" s="117" t="str">
        <f>+IF(L3="","",L8+MAX(E9:K9))</f>
        <v/>
      </c>
      <c r="M9" s="186">
        <f>+MAX(E9:L9)</f>
        <v>0</v>
      </c>
    </row>
    <row r="10" spans="1:13" x14ac:dyDescent="0.2">
      <c r="B10" s="183"/>
      <c r="C10" s="113"/>
      <c r="D10" s="115" t="str">
        <f>+'AFE DETAILED'!D11</f>
        <v>DEPTH TARGET</v>
      </c>
      <c r="E10" s="98">
        <f>+IF(E3="","",'AFE DETAILED'!K11)</f>
        <v>0</v>
      </c>
      <c r="F10" s="98">
        <f>+IF(F3="","",'AFE DETAILED'!L11)</f>
        <v>0</v>
      </c>
      <c r="G10" s="98" t="str">
        <f>+IF(G3="","",'AFE DETAILED'!M11)</f>
        <v/>
      </c>
      <c r="H10" s="98" t="str">
        <f>+IF(H3="","",'AFE DETAILED'!N11)</f>
        <v/>
      </c>
      <c r="I10" s="98" t="str">
        <f>+IF(I3="","",'AFE DETAILED'!O11)</f>
        <v/>
      </c>
      <c r="J10" s="98" t="str">
        <f>+IF(J3="","",'AFE DETAILED'!P11)</f>
        <v/>
      </c>
      <c r="K10" s="98" t="str">
        <f>+IF(K3="","",'AFE DETAILED'!Q11)</f>
        <v/>
      </c>
      <c r="L10" s="98" t="str">
        <f>+IF(L3="","",'AFE DETAILED'!R11)</f>
        <v/>
      </c>
      <c r="M10" s="184">
        <f>+IF(M3="","",'AFE DETAILED'!T11)</f>
        <v>0</v>
      </c>
    </row>
    <row r="11" spans="1:13" ht="13.5" thickBot="1" x14ac:dyDescent="0.25">
      <c r="B11" s="203"/>
      <c r="C11" s="204"/>
      <c r="D11" s="205" t="str">
        <f>+'AFE DETAILED'!D12</f>
        <v>GEOLOGY FORMATION</v>
      </c>
      <c r="E11" s="206" t="str">
        <f>+IF(E3="","",'AFE DETAILED'!K12)</f>
        <v>N/A</v>
      </c>
      <c r="F11" s="206" t="str">
        <f>+IF(F3="","",'AFE DETAILED'!L12)</f>
        <v>N/A</v>
      </c>
      <c r="G11" s="206" t="str">
        <f>+IF(G3="","",'AFE DETAILED'!M12)</f>
        <v/>
      </c>
      <c r="H11" s="206" t="str">
        <f>+IF(H3="","",'AFE DETAILED'!N12)</f>
        <v/>
      </c>
      <c r="I11" s="206" t="str">
        <f>+IF(I3="","",'AFE DETAILED'!O12)</f>
        <v/>
      </c>
      <c r="J11" s="206" t="str">
        <f>+IF(J3="","",'AFE DETAILED'!P12)</f>
        <v/>
      </c>
      <c r="K11" s="206" t="str">
        <f>+IF(K3="","",'AFE DETAILED'!Q12)</f>
        <v/>
      </c>
      <c r="L11" s="206" t="str">
        <f>+IF(L3="","",'AFE DETAILED'!R12)</f>
        <v/>
      </c>
      <c r="M11" s="207" t="str">
        <f>+IF(M3="","",'AFE DETAILED'!T12)</f>
        <v>-</v>
      </c>
    </row>
    <row r="12" spans="1:13" ht="3.75" customHeight="1" thickBot="1" x14ac:dyDescent="0.25">
      <c r="B12" s="187"/>
      <c r="C12" s="188"/>
      <c r="D12" s="189"/>
      <c r="E12" s="190"/>
      <c r="F12" s="190"/>
      <c r="G12" s="190"/>
      <c r="H12" s="190"/>
      <c r="I12" s="190"/>
      <c r="J12" s="190"/>
      <c r="K12" s="190"/>
      <c r="L12" s="190"/>
      <c r="M12" s="191"/>
    </row>
    <row r="13" spans="1:13" ht="13.5" thickBot="1" x14ac:dyDescent="0.25">
      <c r="B13" s="129" t="str">
        <f>+'AFE DETAILED'!B13</f>
        <v>ITEM</v>
      </c>
      <c r="C13" s="208" t="s">
        <v>513</v>
      </c>
      <c r="D13" s="130" t="s">
        <v>69</v>
      </c>
      <c r="E13" s="208" t="str">
        <f>+IF(E3="","","Planned Cost")</f>
        <v>Planned Cost</v>
      </c>
      <c r="F13" s="208" t="str">
        <f t="shared" ref="F13:M13" si="1">+IF(F3="","","Planned Cost")</f>
        <v>Planned Cost</v>
      </c>
      <c r="G13" s="208" t="str">
        <f t="shared" si="1"/>
        <v/>
      </c>
      <c r="H13" s="208" t="str">
        <f t="shared" si="1"/>
        <v/>
      </c>
      <c r="I13" s="208" t="str">
        <f t="shared" si="1"/>
        <v/>
      </c>
      <c r="J13" s="208" t="str">
        <f t="shared" si="1"/>
        <v/>
      </c>
      <c r="K13" s="208" t="str">
        <f t="shared" si="1"/>
        <v/>
      </c>
      <c r="L13" s="208" t="str">
        <f t="shared" si="1"/>
        <v/>
      </c>
      <c r="M13" s="209" t="str">
        <f t="shared" si="1"/>
        <v>Planned Cost</v>
      </c>
    </row>
    <row r="14" spans="1:13" x14ac:dyDescent="0.2">
      <c r="B14" s="210" t="str">
        <f>+'AFE DETAILED'!B14</f>
        <v>A</v>
      </c>
      <c r="C14" s="375" t="str">
        <f>+'AFE DETAILED'!E15</f>
        <v>Purchase LAND and/or access permit cost</v>
      </c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3" x14ac:dyDescent="0.2">
      <c r="B15" s="183" t="str">
        <f>+'AFE DETAILED'!B15</f>
        <v>A1</v>
      </c>
      <c r="C15" s="113" t="str">
        <f>+'AFE DETAILED'!E20</f>
        <v>TOTAL Purchase land and/or access permit cost</v>
      </c>
      <c r="D15" s="114">
        <f>+'AFE DETAILED'!G16</f>
        <v>111001</v>
      </c>
      <c r="E15" s="112">
        <f>IF(E3="","",'AFE DETAILED'!K20)</f>
        <v>0</v>
      </c>
      <c r="F15" s="112">
        <f>IF(F3="","",'AFE DETAILED'!L20)</f>
        <v>0</v>
      </c>
      <c r="G15" s="112" t="str">
        <f>IF(G3="","",'AFE DETAILED'!M20)</f>
        <v/>
      </c>
      <c r="H15" s="112" t="str">
        <f>IF(H3="","",'AFE DETAILED'!N20)</f>
        <v/>
      </c>
      <c r="I15" s="112" t="str">
        <f>IF(I3="","",'AFE DETAILED'!O20)</f>
        <v/>
      </c>
      <c r="J15" s="112" t="str">
        <f>IF(J3="","",'AFE DETAILED'!P20)</f>
        <v/>
      </c>
      <c r="K15" s="112" t="str">
        <f>IF(K3="","",'AFE DETAILED'!Q20)</f>
        <v/>
      </c>
      <c r="L15" s="112" t="str">
        <f>IF(L3="","",'AFE DETAILED'!R20)</f>
        <v/>
      </c>
      <c r="M15" s="192">
        <f>+SUM(E15:L15)</f>
        <v>0</v>
      </c>
    </row>
    <row r="16" spans="1:13" ht="26.25" thickBot="1" x14ac:dyDescent="0.25">
      <c r="B16" s="211" t="str">
        <f>+'AFE DETAILED'!B21</f>
        <v>A</v>
      </c>
      <c r="C16" s="212" t="str">
        <f>+'AFE DETAILED'!E21</f>
        <v>TOTAL PURCHASE LAND AND/OR ACCESS PERMIT COST</v>
      </c>
      <c r="D16" s="213"/>
      <c r="E16" s="214">
        <f>+IF(E3="","",SUM(E15))</f>
        <v>0</v>
      </c>
      <c r="F16" s="214">
        <f t="shared" ref="F16:L16" si="2">+IF(F3="","",SUM(F15))</f>
        <v>0</v>
      </c>
      <c r="G16" s="214" t="str">
        <f t="shared" si="2"/>
        <v/>
      </c>
      <c r="H16" s="214" t="str">
        <f t="shared" si="2"/>
        <v/>
      </c>
      <c r="I16" s="214" t="str">
        <f t="shared" si="2"/>
        <v/>
      </c>
      <c r="J16" s="214" t="str">
        <f t="shared" si="2"/>
        <v/>
      </c>
      <c r="K16" s="214" t="str">
        <f t="shared" si="2"/>
        <v/>
      </c>
      <c r="L16" s="214" t="str">
        <f t="shared" si="2"/>
        <v/>
      </c>
      <c r="M16" s="215">
        <f>+SUM(E16:L16)</f>
        <v>0</v>
      </c>
    </row>
    <row r="17" spans="2:13" ht="3.75" customHeight="1" thickBot="1" x14ac:dyDescent="0.25">
      <c r="B17" s="187"/>
      <c r="C17" s="188"/>
      <c r="D17" s="193"/>
      <c r="E17" s="111"/>
      <c r="F17" s="111"/>
      <c r="G17" s="111"/>
      <c r="H17" s="111"/>
      <c r="I17" s="111"/>
      <c r="J17" s="111"/>
      <c r="K17" s="111"/>
      <c r="L17" s="111"/>
      <c r="M17" s="194"/>
    </row>
    <row r="18" spans="2:13" x14ac:dyDescent="0.2">
      <c r="B18" s="210" t="str">
        <f>+'AFE DETAILED'!B23</f>
        <v>B</v>
      </c>
      <c r="C18" s="375" t="str">
        <f>+'AFE DETAILED'!E23</f>
        <v>LOCATION  AND ROAD CONSTRUCTION &amp; MAINTENANCE</v>
      </c>
      <c r="D18" s="375"/>
      <c r="E18" s="375"/>
      <c r="F18" s="375"/>
      <c r="G18" s="375"/>
      <c r="H18" s="375"/>
      <c r="I18" s="375"/>
      <c r="J18" s="375"/>
      <c r="K18" s="375"/>
      <c r="L18" s="375"/>
      <c r="M18" s="376"/>
    </row>
    <row r="19" spans="2:13" x14ac:dyDescent="0.2">
      <c r="B19" s="183" t="str">
        <f>+'AFE DETAILED'!B24</f>
        <v>B1</v>
      </c>
      <c r="C19" s="113" t="str">
        <f>+'AFE DETAILED'!E30</f>
        <v>TOTAL location construction and maintenance</v>
      </c>
      <c r="D19" s="114">
        <f>+'AFE DETAILED'!G26</f>
        <v>111001</v>
      </c>
      <c r="E19" s="112">
        <f>+IF(E3="","",'AFE DETAILED'!K30)</f>
        <v>0</v>
      </c>
      <c r="F19" s="112">
        <f>+IF(F3="","",'AFE DETAILED'!L30)</f>
        <v>0</v>
      </c>
      <c r="G19" s="112" t="str">
        <f>+IF(G3="","",'AFE DETAILED'!M30)</f>
        <v/>
      </c>
      <c r="H19" s="112" t="str">
        <f>+IF(H3="","",'AFE DETAILED'!N30)</f>
        <v/>
      </c>
      <c r="I19" s="112" t="str">
        <f>+IF(I3="","",'AFE DETAILED'!O30)</f>
        <v/>
      </c>
      <c r="J19" s="112" t="str">
        <f>+IF(J3="","",'AFE DETAILED'!P30)</f>
        <v/>
      </c>
      <c r="K19" s="112" t="str">
        <f>+IF(K3="","",'AFE DETAILED'!Q30)</f>
        <v/>
      </c>
      <c r="L19" s="112" t="str">
        <f>+IF(L3="","",'AFE DETAILED'!R30)</f>
        <v/>
      </c>
      <c r="M19" s="192">
        <f>SUM(E19:L19)</f>
        <v>0</v>
      </c>
    </row>
    <row r="20" spans="2:13" x14ac:dyDescent="0.2">
      <c r="B20" s="183" t="str">
        <f>+'AFE DETAILED'!B31</f>
        <v>B2</v>
      </c>
      <c r="C20" s="113" t="str">
        <f>+'AFE DETAILED'!E37</f>
        <v>TOTAL road construction and maintenance</v>
      </c>
      <c r="D20" s="114">
        <f>+'AFE DETAILED'!G32</f>
        <v>111001</v>
      </c>
      <c r="E20" s="112">
        <f>+IF(E3="","",'AFE DETAILED'!K37)</f>
        <v>0</v>
      </c>
      <c r="F20" s="112">
        <f>+IF(F3="","",'AFE DETAILED'!L37)</f>
        <v>0</v>
      </c>
      <c r="G20" s="112" t="str">
        <f>+IF(G3="","",'AFE DETAILED'!M37)</f>
        <v/>
      </c>
      <c r="H20" s="112" t="str">
        <f>+IF(H3="","",'AFE DETAILED'!N37)</f>
        <v/>
      </c>
      <c r="I20" s="112" t="str">
        <f>+IF(I3="","",'AFE DETAILED'!O37)</f>
        <v/>
      </c>
      <c r="J20" s="112" t="str">
        <f>+IF(J3="","",'AFE DETAILED'!P37)</f>
        <v/>
      </c>
      <c r="K20" s="112" t="str">
        <f>+IF(K3="","",'AFE DETAILED'!Q37)</f>
        <v/>
      </c>
      <c r="L20" s="112" t="str">
        <f>+IF(L3="","",'AFE DETAILED'!R37)</f>
        <v/>
      </c>
      <c r="M20" s="192">
        <f t="shared" ref="M20:M21" si="3">SUM(E20:L20)</f>
        <v>0</v>
      </c>
    </row>
    <row r="21" spans="2:13" ht="26.25" thickBot="1" x14ac:dyDescent="0.25">
      <c r="B21" s="211" t="str">
        <f>+B18</f>
        <v>B</v>
      </c>
      <c r="C21" s="212" t="str">
        <f>+'AFE DETAILED'!E38</f>
        <v>TOTAL LOCATION  AND ROAD CONSTRUCTION &amp; MAINTENANCE</v>
      </c>
      <c r="D21" s="213"/>
      <c r="E21" s="214">
        <f>+IF(E3="","",SUM(E19:E20))</f>
        <v>0</v>
      </c>
      <c r="F21" s="214">
        <f t="shared" ref="F21:L21" si="4">+IF(F3="","",SUM(F19:F20))</f>
        <v>0</v>
      </c>
      <c r="G21" s="214" t="str">
        <f t="shared" si="4"/>
        <v/>
      </c>
      <c r="H21" s="214" t="str">
        <f t="shared" si="4"/>
        <v/>
      </c>
      <c r="I21" s="214" t="str">
        <f t="shared" si="4"/>
        <v/>
      </c>
      <c r="J21" s="214" t="str">
        <f t="shared" si="4"/>
        <v/>
      </c>
      <c r="K21" s="214" t="str">
        <f t="shared" si="4"/>
        <v/>
      </c>
      <c r="L21" s="214" t="str">
        <f t="shared" si="4"/>
        <v/>
      </c>
      <c r="M21" s="215">
        <f t="shared" si="3"/>
        <v>0</v>
      </c>
    </row>
    <row r="22" spans="2:13" ht="3.75" customHeight="1" thickBot="1" x14ac:dyDescent="0.25">
      <c r="B22" s="187"/>
      <c r="C22" s="188"/>
      <c r="D22" s="193"/>
      <c r="E22" s="111"/>
      <c r="F22" s="111"/>
      <c r="G22" s="111"/>
      <c r="H22" s="111"/>
      <c r="I22" s="111"/>
      <c r="J22" s="111"/>
      <c r="K22" s="111"/>
      <c r="L22" s="111"/>
      <c r="M22" s="194"/>
    </row>
    <row r="23" spans="2:13" x14ac:dyDescent="0.2">
      <c r="B23" s="210" t="str">
        <f>+'AFE DETAILED'!B40</f>
        <v>C</v>
      </c>
      <c r="C23" s="375" t="str">
        <f>+'AFE DETAILED'!E40</f>
        <v xml:space="preserve">HIRE OF DRILLING UNIT &amp; CATERING </v>
      </c>
      <c r="D23" s="375"/>
      <c r="E23" s="375"/>
      <c r="F23" s="375"/>
      <c r="G23" s="375"/>
      <c r="H23" s="375"/>
      <c r="I23" s="375"/>
      <c r="J23" s="375"/>
      <c r="K23" s="375"/>
      <c r="L23" s="375"/>
      <c r="M23" s="376"/>
    </row>
    <row r="24" spans="2:13" x14ac:dyDescent="0.2">
      <c r="B24" s="183" t="str">
        <f>+'AFE DETAILED'!B41</f>
        <v>C1</v>
      </c>
      <c r="C24" s="113" t="str">
        <f>+'AFE DETAILED'!E52</f>
        <v>TOTAL Rig Rate</v>
      </c>
      <c r="D24" s="114">
        <f>+'AFE DETAILED'!G43</f>
        <v>110001</v>
      </c>
      <c r="E24" s="112">
        <f>+IF(E3="","",'AFE DETAILED'!K52)</f>
        <v>0</v>
      </c>
      <c r="F24" s="112">
        <f>+IF(F3="","",'AFE DETAILED'!L52)</f>
        <v>0</v>
      </c>
      <c r="G24" s="112" t="str">
        <f>+IF(G3="","",'AFE DETAILED'!M52)</f>
        <v/>
      </c>
      <c r="H24" s="112" t="str">
        <f>+IF(H3="","",'AFE DETAILED'!N52)</f>
        <v/>
      </c>
      <c r="I24" s="112" t="str">
        <f>+IF(I3="","",'AFE DETAILED'!O52)</f>
        <v/>
      </c>
      <c r="J24" s="112" t="str">
        <f>+IF(J3="","",'AFE DETAILED'!P52)</f>
        <v/>
      </c>
      <c r="K24" s="112" t="str">
        <f>+IF(K3="","",'AFE DETAILED'!Q52)</f>
        <v/>
      </c>
      <c r="L24" s="112" t="str">
        <f>+IF(L3="","",'AFE DETAILED'!R52)</f>
        <v/>
      </c>
      <c r="M24" s="192">
        <f>+IF(M3="","",'AFE DETAILED'!T52)</f>
        <v>0</v>
      </c>
    </row>
    <row r="25" spans="2:13" x14ac:dyDescent="0.2">
      <c r="B25" s="183" t="str">
        <f>+'AFE DETAILED'!B53</f>
        <v>C2</v>
      </c>
      <c r="C25" s="113" t="str">
        <f>+'AFE DETAILED'!E59</f>
        <v>TOTAL Catering &amp; Accommodation</v>
      </c>
      <c r="D25" s="114">
        <f>+'AFE DETAILED'!G55</f>
        <v>110002</v>
      </c>
      <c r="E25" s="112">
        <f>+IF(E3="","",'AFE DETAILED'!K59)</f>
        <v>0</v>
      </c>
      <c r="F25" s="112">
        <f>+IF(F3="","",'AFE DETAILED'!L59)</f>
        <v>0</v>
      </c>
      <c r="G25" s="112" t="str">
        <f>+IF(G3="","",'AFE DETAILED'!M59)</f>
        <v/>
      </c>
      <c r="H25" s="112" t="str">
        <f>+IF(H3="","",'AFE DETAILED'!N59)</f>
        <v/>
      </c>
      <c r="I25" s="112" t="str">
        <f>+IF(I3="","",'AFE DETAILED'!O59)</f>
        <v/>
      </c>
      <c r="J25" s="112" t="str">
        <f>+IF(J3="","",'AFE DETAILED'!P59)</f>
        <v/>
      </c>
      <c r="K25" s="112" t="str">
        <f>+IF(K3="","",'AFE DETAILED'!Q59)</f>
        <v/>
      </c>
      <c r="L25" s="112" t="str">
        <f>+IF(L3="","",'AFE DETAILED'!R59)</f>
        <v/>
      </c>
      <c r="M25" s="192">
        <f>+IF(M3="","",'AFE DETAILED'!T59)</f>
        <v>0</v>
      </c>
    </row>
    <row r="26" spans="2:13" x14ac:dyDescent="0.2">
      <c r="B26" s="183" t="str">
        <f>+'AFE DETAILED'!B60</f>
        <v>C3</v>
      </c>
      <c r="C26" s="113" t="str">
        <f>+'AFE DETAILED'!E67</f>
        <v>TOTAL Mobilization &amp; Demobilization</v>
      </c>
      <c r="D26" s="114">
        <f>+'AFE DETAILED'!G61</f>
        <v>110003</v>
      </c>
      <c r="E26" s="112">
        <f>+IF(E3="","",'AFE DETAILED'!K67)</f>
        <v>0</v>
      </c>
      <c r="F26" s="112">
        <f>+IF(F3="","",'AFE DETAILED'!L67)</f>
        <v>0</v>
      </c>
      <c r="G26" s="112" t="str">
        <f>+IF(G3="","",'AFE DETAILED'!M67)</f>
        <v/>
      </c>
      <c r="H26" s="112" t="str">
        <f>+IF(H3="","",'AFE DETAILED'!N67)</f>
        <v/>
      </c>
      <c r="I26" s="112" t="str">
        <f>+IF(I3="","",'AFE DETAILED'!O67)</f>
        <v/>
      </c>
      <c r="J26" s="112" t="str">
        <f>+IF(J3="","",'AFE DETAILED'!P67)</f>
        <v/>
      </c>
      <c r="K26" s="112" t="str">
        <f>+IF(K3="","",'AFE DETAILED'!Q67)</f>
        <v/>
      </c>
      <c r="L26" s="112" t="str">
        <f>+IF(L3="","",'AFE DETAILED'!R67)</f>
        <v/>
      </c>
      <c r="M26" s="192">
        <f>+IF(M3="","",'AFE DETAILED'!T67)</f>
        <v>0</v>
      </c>
    </row>
    <row r="27" spans="2:13" ht="13.5" thickBot="1" x14ac:dyDescent="0.25">
      <c r="B27" s="211" t="str">
        <f>+B23</f>
        <v>C</v>
      </c>
      <c r="C27" s="212" t="str">
        <f>+'AFE DETAILED'!E68</f>
        <v xml:space="preserve">TOTAL HIRE OF DRILLING UNIT &amp; CATERING </v>
      </c>
      <c r="D27" s="213"/>
      <c r="E27" s="214">
        <f>+IF(E3="","",SUM(E24:E26))</f>
        <v>0</v>
      </c>
      <c r="F27" s="214">
        <f t="shared" ref="F27:M27" si="5">+IF(F3="","",SUM(F24:F26))</f>
        <v>0</v>
      </c>
      <c r="G27" s="214" t="str">
        <f t="shared" si="5"/>
        <v/>
      </c>
      <c r="H27" s="214" t="str">
        <f t="shared" si="5"/>
        <v/>
      </c>
      <c r="I27" s="214" t="str">
        <f t="shared" si="5"/>
        <v/>
      </c>
      <c r="J27" s="214" t="str">
        <f t="shared" si="5"/>
        <v/>
      </c>
      <c r="K27" s="214" t="str">
        <f t="shared" si="5"/>
        <v/>
      </c>
      <c r="L27" s="214" t="str">
        <f t="shared" si="5"/>
        <v/>
      </c>
      <c r="M27" s="215">
        <f t="shared" si="5"/>
        <v>0</v>
      </c>
    </row>
    <row r="28" spans="2:13" ht="3.75" customHeight="1" thickBot="1" x14ac:dyDescent="0.25">
      <c r="B28" s="187"/>
      <c r="C28" s="188"/>
      <c r="D28" s="193"/>
      <c r="E28" s="111"/>
      <c r="F28" s="111"/>
      <c r="G28" s="111"/>
      <c r="H28" s="111"/>
      <c r="I28" s="111"/>
      <c r="J28" s="111"/>
      <c r="K28" s="111"/>
      <c r="L28" s="111"/>
      <c r="M28" s="194"/>
    </row>
    <row r="29" spans="2:13" x14ac:dyDescent="0.2">
      <c r="B29" s="210" t="str">
        <f>+'AFE DETAILED'!B70</f>
        <v>D</v>
      </c>
      <c r="C29" s="375" t="str">
        <f>+'AFE DETAILED'!E70</f>
        <v>WELL CONSUMABLES</v>
      </c>
      <c r="D29" s="375"/>
      <c r="E29" s="375"/>
      <c r="F29" s="375"/>
      <c r="G29" s="375"/>
      <c r="H29" s="375"/>
      <c r="I29" s="375"/>
      <c r="J29" s="375"/>
      <c r="K29" s="375"/>
      <c r="L29" s="375"/>
      <c r="M29" s="376"/>
    </row>
    <row r="30" spans="2:13" ht="25.5" x14ac:dyDescent="0.2">
      <c r="B30" s="183" t="str">
        <f>+'AFE DETAILED'!B71</f>
        <v>D1</v>
      </c>
      <c r="C30" s="113" t="str">
        <f>+'AFE DETAILED'!E81</f>
        <v xml:space="preserve">TOTAL Field desk Consumables &amp; consumables for drilling / Completion </v>
      </c>
      <c r="D30" s="114">
        <f>+'AFE DETAILED'!G72</f>
        <v>112001</v>
      </c>
      <c r="E30" s="112">
        <f>+IF(E3="","",'AFE DETAILED'!K81)</f>
        <v>0</v>
      </c>
      <c r="F30" s="112">
        <f>+IF(F3="","",'AFE DETAILED'!L81)</f>
        <v>0</v>
      </c>
      <c r="G30" s="112" t="str">
        <f>+IF(G3="","",'AFE DETAILED'!M81)</f>
        <v/>
      </c>
      <c r="H30" s="112" t="str">
        <f>+IF(H3="","",'AFE DETAILED'!N81)</f>
        <v/>
      </c>
      <c r="I30" s="112" t="str">
        <f>+IF(I3="","",'AFE DETAILED'!O81)</f>
        <v/>
      </c>
      <c r="J30" s="112" t="str">
        <f>+IF(J3="","",'AFE DETAILED'!P81)</f>
        <v/>
      </c>
      <c r="K30" s="112" t="str">
        <f>+IF(K3="","",'AFE DETAILED'!Q81)</f>
        <v/>
      </c>
      <c r="L30" s="112" t="str">
        <f>+IF(L3="","",'AFE DETAILED'!R81)</f>
        <v/>
      </c>
      <c r="M30" s="192">
        <f>SUM(E30:L30)</f>
        <v>0</v>
      </c>
    </row>
    <row r="31" spans="2:13" x14ac:dyDescent="0.2">
      <c r="B31" s="183" t="str">
        <f>+'AFE DETAILED'!B82</f>
        <v>D2</v>
      </c>
      <c r="C31" s="113" t="str">
        <f>+'AFE DETAILED'!E89</f>
        <v>TOTAL Mud/Fluids Chemicals</v>
      </c>
      <c r="D31" s="114">
        <f>+'AFE DETAILED'!G83</f>
        <v>112002</v>
      </c>
      <c r="E31" s="112">
        <f>+IF(E3="","",'AFE DETAILED'!K89)</f>
        <v>0</v>
      </c>
      <c r="F31" s="112">
        <f>+IF(F3="","",'AFE DETAILED'!L89)</f>
        <v>0</v>
      </c>
      <c r="G31" s="112" t="str">
        <f>+IF(G3="","",'AFE DETAILED'!M89)</f>
        <v/>
      </c>
      <c r="H31" s="112" t="str">
        <f>+IF(H3="","",'AFE DETAILED'!N89)</f>
        <v/>
      </c>
      <c r="I31" s="112" t="str">
        <f>+IF(I3="","",'AFE DETAILED'!O89)</f>
        <v/>
      </c>
      <c r="J31" s="112" t="str">
        <f>+IF(J3="","",'AFE DETAILED'!P89)</f>
        <v/>
      </c>
      <c r="K31" s="112" t="str">
        <f>+IF(K3="","",'AFE DETAILED'!Q89)</f>
        <v/>
      </c>
      <c r="L31" s="112" t="str">
        <f>+IF(L3="","",'AFE DETAILED'!R89)</f>
        <v/>
      </c>
      <c r="M31" s="192">
        <f t="shared" ref="M31:M35" si="6">SUM(E31:L31)</f>
        <v>0</v>
      </c>
    </row>
    <row r="32" spans="2:13" x14ac:dyDescent="0.2">
      <c r="B32" s="183" t="str">
        <f>+'AFE DETAILED'!B90</f>
        <v>D3</v>
      </c>
      <c r="C32" s="113" t="str">
        <f>+'AFE DETAILED'!E102</f>
        <v>TOTAL Cement &amp; Additives</v>
      </c>
      <c r="D32" s="114">
        <f>+'AFE DETAILED'!G91</f>
        <v>112003</v>
      </c>
      <c r="E32" s="112">
        <f>+IF(E3="","",'AFE DETAILED'!K102)</f>
        <v>0</v>
      </c>
      <c r="F32" s="112">
        <f>+IF(F3="","",'AFE DETAILED'!L102)</f>
        <v>0</v>
      </c>
      <c r="G32" s="112" t="str">
        <f>+IF(G3="","",'AFE DETAILED'!M102)</f>
        <v/>
      </c>
      <c r="H32" s="112" t="str">
        <f>+IF(H3="","",'AFE DETAILED'!N102)</f>
        <v/>
      </c>
      <c r="I32" s="112" t="str">
        <f>+IF(I3="","",'AFE DETAILED'!O102)</f>
        <v/>
      </c>
      <c r="J32" s="112" t="str">
        <f>+IF(J3="","",'AFE DETAILED'!P102)</f>
        <v/>
      </c>
      <c r="K32" s="112" t="str">
        <f>+IF(K3="","",'AFE DETAILED'!Q102)</f>
        <v/>
      </c>
      <c r="L32" s="112" t="str">
        <f>+IF(L3="","",'AFE DETAILED'!R102)</f>
        <v/>
      </c>
      <c r="M32" s="192">
        <f t="shared" si="6"/>
        <v>0</v>
      </c>
    </row>
    <row r="33" spans="2:13" x14ac:dyDescent="0.2">
      <c r="B33" s="183" t="str">
        <f>+'AFE DETAILED'!B103</f>
        <v>D4</v>
      </c>
      <c r="C33" s="113" t="str">
        <f>+'AFE DETAILED'!E115</f>
        <v>TOTAL Diesel</v>
      </c>
      <c r="D33" s="114">
        <f>+'AFE DETAILED'!G104</f>
        <v>112004</v>
      </c>
      <c r="E33" s="112">
        <f>+IF(E3="","",'AFE DETAILED'!L115)</f>
        <v>0</v>
      </c>
      <c r="F33" s="112">
        <f>+IF(F3="","",'AFE DETAILED'!M115)</f>
        <v>0</v>
      </c>
      <c r="G33" s="112" t="str">
        <f>+IF(G3="","",'AFE DETAILED'!N115)</f>
        <v/>
      </c>
      <c r="H33" s="112" t="str">
        <f>+IF(H3="","",'AFE DETAILED'!O115)</f>
        <v/>
      </c>
      <c r="I33" s="112" t="str">
        <f>+IF(I3="","",'AFE DETAILED'!P115)</f>
        <v/>
      </c>
      <c r="J33" s="112" t="str">
        <f>+IF(J3="","",'AFE DETAILED'!Q115)</f>
        <v/>
      </c>
      <c r="K33" s="112" t="str">
        <f>+IF(K3="","",'AFE DETAILED'!R115)</f>
        <v/>
      </c>
      <c r="L33" s="112" t="str">
        <f>+IF(L3="","",'AFE DETAILED'!S115)</f>
        <v/>
      </c>
      <c r="M33" s="192">
        <f t="shared" si="6"/>
        <v>0</v>
      </c>
    </row>
    <row r="34" spans="2:13" x14ac:dyDescent="0.2">
      <c r="B34" s="183" t="str">
        <f>+'AFE DETAILED'!B116</f>
        <v>D5</v>
      </c>
      <c r="C34" s="113" t="str">
        <f>+'AFE DETAILED'!E133</f>
        <v>TOTAL BITS</v>
      </c>
      <c r="D34" s="114">
        <f>+'AFE DETAILED'!G121</f>
        <v>112007</v>
      </c>
      <c r="E34" s="112">
        <f>+IF(E3="","",'AFE DETAILED'!K133)</f>
        <v>0</v>
      </c>
      <c r="F34" s="112">
        <f>+IF(F3="","",'AFE DETAILED'!L133)</f>
        <v>0</v>
      </c>
      <c r="G34" s="112" t="str">
        <f>+IF(G3="","",'AFE DETAILED'!M133)</f>
        <v/>
      </c>
      <c r="H34" s="112" t="str">
        <f>+IF(H3="","",'AFE DETAILED'!N133)</f>
        <v/>
      </c>
      <c r="I34" s="112" t="str">
        <f>+IF(I3="","",'AFE DETAILED'!O133)</f>
        <v/>
      </c>
      <c r="J34" s="112" t="str">
        <f>+IF(J3="","",'AFE DETAILED'!P133)</f>
        <v/>
      </c>
      <c r="K34" s="112" t="str">
        <f>+IF(K3="","",'AFE DETAILED'!Q133)</f>
        <v/>
      </c>
      <c r="L34" s="112" t="str">
        <f>+IF(L3="","",'AFE DETAILED'!R133)</f>
        <v/>
      </c>
      <c r="M34" s="192">
        <f t="shared" si="6"/>
        <v>0</v>
      </c>
    </row>
    <row r="35" spans="2:13" ht="13.5" thickBot="1" x14ac:dyDescent="0.25">
      <c r="B35" s="211" t="str">
        <f>+'AFE DETAILED'!B134</f>
        <v>D</v>
      </c>
      <c r="C35" s="212" t="str">
        <f>+'AFE DETAILED'!E134</f>
        <v>TOTAL WELL CONSUMABLES</v>
      </c>
      <c r="D35" s="213"/>
      <c r="E35" s="214">
        <f>IF(E3="","",SUM(E30:E34))</f>
        <v>0</v>
      </c>
      <c r="F35" s="214">
        <f t="shared" ref="F35:L35" si="7">IF(F3="","",SUM(F30:F34))</f>
        <v>0</v>
      </c>
      <c r="G35" s="214" t="str">
        <f t="shared" si="7"/>
        <v/>
      </c>
      <c r="H35" s="214" t="str">
        <f t="shared" si="7"/>
        <v/>
      </c>
      <c r="I35" s="214" t="str">
        <f t="shared" si="7"/>
        <v/>
      </c>
      <c r="J35" s="214" t="str">
        <f t="shared" si="7"/>
        <v/>
      </c>
      <c r="K35" s="214" t="str">
        <f t="shared" si="7"/>
        <v/>
      </c>
      <c r="L35" s="214" t="str">
        <f t="shared" si="7"/>
        <v/>
      </c>
      <c r="M35" s="215">
        <f t="shared" si="6"/>
        <v>0</v>
      </c>
    </row>
    <row r="36" spans="2:13" ht="3.75" customHeight="1" thickBot="1" x14ac:dyDescent="0.25">
      <c r="B36" s="187"/>
      <c r="C36" s="188"/>
      <c r="D36" s="193"/>
      <c r="E36" s="111"/>
      <c r="F36" s="111"/>
      <c r="G36" s="111"/>
      <c r="H36" s="111"/>
      <c r="I36" s="111"/>
      <c r="J36" s="111"/>
      <c r="K36" s="111"/>
      <c r="L36" s="111"/>
      <c r="M36" s="194"/>
    </row>
    <row r="37" spans="2:13" x14ac:dyDescent="0.2">
      <c r="B37" s="210" t="str">
        <f>+'AFE DETAILED'!B136</f>
        <v>E</v>
      </c>
      <c r="C37" s="375" t="str">
        <f>+'AFE DETAILED'!E136</f>
        <v>TANGIBLE CONSUMABLES</v>
      </c>
      <c r="D37" s="375"/>
      <c r="E37" s="375"/>
      <c r="F37" s="375"/>
      <c r="G37" s="375"/>
      <c r="H37" s="375"/>
      <c r="I37" s="375"/>
      <c r="J37" s="375"/>
      <c r="K37" s="375"/>
      <c r="L37" s="375"/>
      <c r="M37" s="376"/>
    </row>
    <row r="38" spans="2:13" x14ac:dyDescent="0.2">
      <c r="B38" s="183" t="str">
        <f>+'AFE DETAILED'!B137</f>
        <v>E1</v>
      </c>
      <c r="C38" s="113" t="str">
        <f>+'AFE DETAILED'!E153</f>
        <v>TOTAL Wellhead/Casing Head Equipment</v>
      </c>
      <c r="D38" s="114">
        <f>+'AFE DETAILED'!G143</f>
        <v>113001</v>
      </c>
      <c r="E38" s="112">
        <f>+IF(E3="","",'AFE DETAILED'!K153)</f>
        <v>0</v>
      </c>
      <c r="F38" s="112">
        <f>+IF(F3="","",'AFE DETAILED'!L153)</f>
        <v>0</v>
      </c>
      <c r="G38" s="112" t="str">
        <f>+IF(G3="","",'AFE DETAILED'!M153)</f>
        <v/>
      </c>
      <c r="H38" s="112" t="str">
        <f>+IF(H3="","",'AFE DETAILED'!N153)</f>
        <v/>
      </c>
      <c r="I38" s="112" t="str">
        <f>+IF(I3="","",'AFE DETAILED'!O153)</f>
        <v/>
      </c>
      <c r="J38" s="112" t="str">
        <f>+IF(J3="","",'AFE DETAILED'!P153)</f>
        <v/>
      </c>
      <c r="K38" s="112" t="str">
        <f>+IF(K3="","",'AFE DETAILED'!Q153)</f>
        <v/>
      </c>
      <c r="L38" s="112" t="str">
        <f>+IF(L3="","",'AFE DETAILED'!R153)</f>
        <v/>
      </c>
      <c r="M38" s="192">
        <f>SUM(E38:L38)</f>
        <v>0</v>
      </c>
    </row>
    <row r="39" spans="2:13" x14ac:dyDescent="0.2">
      <c r="B39" s="183" t="str">
        <f>+'AFE DETAILED'!B154</f>
        <v>E2</v>
      </c>
      <c r="C39" s="113" t="str">
        <f>+'AFE DETAILED'!E164</f>
        <v>TOTAL Tubing Head &amp; Christmas Tree</v>
      </c>
      <c r="D39" s="114">
        <f>+'AFE DETAILED'!G155</f>
        <v>113002</v>
      </c>
      <c r="E39" s="112">
        <f>+IF(E3="","",'AFE DETAILED'!K164)</f>
        <v>0</v>
      </c>
      <c r="F39" s="112">
        <f>+IF(F3="","",'AFE DETAILED'!L164)</f>
        <v>0</v>
      </c>
      <c r="G39" s="112" t="str">
        <f>+IF(G3="","",'AFE DETAILED'!M164)</f>
        <v/>
      </c>
      <c r="H39" s="112" t="str">
        <f>+IF(H3="","",'AFE DETAILED'!N164)</f>
        <v/>
      </c>
      <c r="I39" s="112" t="str">
        <f>+IF(I3="","",'AFE DETAILED'!O164)</f>
        <v/>
      </c>
      <c r="J39" s="112" t="str">
        <f>+IF(J3="","",'AFE DETAILED'!P164)</f>
        <v/>
      </c>
      <c r="K39" s="112" t="str">
        <f>+IF(K3="","",'AFE DETAILED'!Q164)</f>
        <v/>
      </c>
      <c r="L39" s="112" t="str">
        <f>+IF(L3="","",'AFE DETAILED'!R164)</f>
        <v/>
      </c>
      <c r="M39" s="192">
        <f t="shared" ref="M39:M51" si="8">SUM(E39:L39)</f>
        <v>0</v>
      </c>
    </row>
    <row r="40" spans="2:13" x14ac:dyDescent="0.2">
      <c r="B40" s="183" t="str">
        <f>+'AFE DETAILED'!B165</f>
        <v>E3</v>
      </c>
      <c r="C40" s="113" t="str">
        <f>+'AFE DETAILED'!E169</f>
        <v>TOTAL Conductor Casing</v>
      </c>
      <c r="D40" s="114">
        <f>+'AFE DETAILED'!G166</f>
        <v>113003</v>
      </c>
      <c r="E40" s="112">
        <f>+IF(E3="","",'AFE DETAILED'!K169)</f>
        <v>0</v>
      </c>
      <c r="F40" s="112">
        <f>+IF(F3="","",'AFE DETAILED'!L169)</f>
        <v>0</v>
      </c>
      <c r="G40" s="112" t="str">
        <f>+IF(G3="","",'AFE DETAILED'!M169)</f>
        <v/>
      </c>
      <c r="H40" s="112" t="str">
        <f>+IF(H3="","",'AFE DETAILED'!N169)</f>
        <v/>
      </c>
      <c r="I40" s="112" t="str">
        <f>+IF(I3="","",'AFE DETAILED'!O169)</f>
        <v/>
      </c>
      <c r="J40" s="112" t="str">
        <f>+IF(J3="","",'AFE DETAILED'!P169)</f>
        <v/>
      </c>
      <c r="K40" s="112" t="str">
        <f>+IF(K3="","",'AFE DETAILED'!Q169)</f>
        <v/>
      </c>
      <c r="L40" s="112" t="str">
        <f>+IF(L3="","",'AFE DETAILED'!R169)</f>
        <v/>
      </c>
      <c r="M40" s="192">
        <f t="shared" si="8"/>
        <v>0</v>
      </c>
    </row>
    <row r="41" spans="2:13" x14ac:dyDescent="0.2">
      <c r="B41" s="183" t="str">
        <f>+'AFE DETAILED'!B170</f>
        <v>E4</v>
      </c>
      <c r="C41" s="113" t="str">
        <f>+'AFE DETAILED'!E175</f>
        <v>TOTAL Surface Casing</v>
      </c>
      <c r="D41" s="114">
        <f>+'AFE DETAILED'!G171</f>
        <v>113004</v>
      </c>
      <c r="E41" s="112">
        <f>+IF(E3="","",'AFE DETAILED'!K175)</f>
        <v>0</v>
      </c>
      <c r="F41" s="112">
        <f>+IF(F3="","",'AFE DETAILED'!L175)</f>
        <v>0</v>
      </c>
      <c r="G41" s="112" t="str">
        <f>+IF(G3="","",'AFE DETAILED'!M175)</f>
        <v/>
      </c>
      <c r="H41" s="112" t="str">
        <f>+IF(H3="","",'AFE DETAILED'!N175)</f>
        <v/>
      </c>
      <c r="I41" s="112" t="str">
        <f>+IF(I3="","",'AFE DETAILED'!O175)</f>
        <v/>
      </c>
      <c r="J41" s="112" t="str">
        <f>+IF(J3="","",'AFE DETAILED'!P175)</f>
        <v/>
      </c>
      <c r="K41" s="112" t="str">
        <f>+IF(K3="","",'AFE DETAILED'!Q175)</f>
        <v/>
      </c>
      <c r="L41" s="112" t="str">
        <f>+IF(L3="","",'AFE DETAILED'!R175)</f>
        <v/>
      </c>
      <c r="M41" s="192">
        <f t="shared" si="8"/>
        <v>0</v>
      </c>
    </row>
    <row r="42" spans="2:13" x14ac:dyDescent="0.2">
      <c r="B42" s="183" t="str">
        <f>+'AFE DETAILED'!B176</f>
        <v>E5</v>
      </c>
      <c r="C42" s="113" t="str">
        <f>+'AFE DETAILED'!E181</f>
        <v>TOTAL Intermediate Casing #1</v>
      </c>
      <c r="D42" s="114">
        <f>+'AFE DETAILED'!G178</f>
        <v>113005</v>
      </c>
      <c r="E42" s="112">
        <f>+IF(E3="","",'AFE DETAILED'!K181)</f>
        <v>0</v>
      </c>
      <c r="F42" s="112">
        <f>+IF(F3="","",'AFE DETAILED'!L181)</f>
        <v>0</v>
      </c>
      <c r="G42" s="112" t="str">
        <f>+IF(G3="","",'AFE DETAILED'!M181)</f>
        <v/>
      </c>
      <c r="H42" s="112" t="str">
        <f>+IF(H3="","",'AFE DETAILED'!N181)</f>
        <v/>
      </c>
      <c r="I42" s="112" t="str">
        <f>+IF(I3="","",'AFE DETAILED'!O181)</f>
        <v/>
      </c>
      <c r="J42" s="112" t="str">
        <f>+IF(J3="","",'AFE DETAILED'!P181)</f>
        <v/>
      </c>
      <c r="K42" s="112" t="str">
        <f>+IF(K3="","",'AFE DETAILED'!Q181)</f>
        <v/>
      </c>
      <c r="L42" s="112" t="str">
        <f>+IF(L3="","",'AFE DETAILED'!R181)</f>
        <v/>
      </c>
      <c r="M42" s="192">
        <f t="shared" si="8"/>
        <v>0</v>
      </c>
    </row>
    <row r="43" spans="2:13" x14ac:dyDescent="0.2">
      <c r="B43" s="183" t="str">
        <f>+'AFE DETAILED'!B182</f>
        <v>E6</v>
      </c>
      <c r="C43" s="113" t="str">
        <f>+'AFE DETAILED'!E187</f>
        <v>TOTAL Intermediate Casing #2</v>
      </c>
      <c r="D43" s="114">
        <f>+'AFE DETAILED'!G183</f>
        <v>113006</v>
      </c>
      <c r="E43" s="112">
        <f>+IF(E3="","",'AFE DETAILED'!K187)</f>
        <v>0</v>
      </c>
      <c r="F43" s="112">
        <f>+IF(F3="","",'AFE DETAILED'!L187)</f>
        <v>0</v>
      </c>
      <c r="G43" s="112" t="str">
        <f>+IF(G3="","",'AFE DETAILED'!M187)</f>
        <v/>
      </c>
      <c r="H43" s="112" t="str">
        <f>+IF(H3="","",'AFE DETAILED'!N187)</f>
        <v/>
      </c>
      <c r="I43" s="112" t="str">
        <f>+IF(I3="","",'AFE DETAILED'!O187)</f>
        <v/>
      </c>
      <c r="J43" s="112" t="str">
        <f>+IF(J3="","",'AFE DETAILED'!P187)</f>
        <v/>
      </c>
      <c r="K43" s="112" t="str">
        <f>+IF(K3="","",'AFE DETAILED'!Q187)</f>
        <v/>
      </c>
      <c r="L43" s="112" t="str">
        <f>+IF(L3="","",'AFE DETAILED'!R187)</f>
        <v/>
      </c>
      <c r="M43" s="192">
        <f t="shared" si="8"/>
        <v>0</v>
      </c>
    </row>
    <row r="44" spans="2:13" x14ac:dyDescent="0.2">
      <c r="B44" s="183" t="str">
        <f>+'AFE DETAILED'!B188</f>
        <v>E7</v>
      </c>
      <c r="C44" s="113" t="str">
        <f>+'AFE DETAILED'!E193</f>
        <v>TOTAL Drilling Casing / Liner</v>
      </c>
      <c r="D44" s="114">
        <f>+'AFE DETAILED'!G189</f>
        <v>113007</v>
      </c>
      <c r="E44" s="112">
        <f>+IF(E3="","",'AFE DETAILED'!K193)</f>
        <v>0</v>
      </c>
      <c r="F44" s="112">
        <f>+IF(F3="","",'AFE DETAILED'!L193)</f>
        <v>0</v>
      </c>
      <c r="G44" s="112" t="str">
        <f>+IF(G3="","",'AFE DETAILED'!M193)</f>
        <v/>
      </c>
      <c r="H44" s="112" t="str">
        <f>+IF(H3="","",'AFE DETAILED'!N193)</f>
        <v/>
      </c>
      <c r="I44" s="112" t="str">
        <f>+IF(I3="","",'AFE DETAILED'!O193)</f>
        <v/>
      </c>
      <c r="J44" s="112" t="str">
        <f>+IF(J3="","",'AFE DETAILED'!P193)</f>
        <v/>
      </c>
      <c r="K44" s="112" t="str">
        <f>+IF(K3="","",'AFE DETAILED'!Q193)</f>
        <v/>
      </c>
      <c r="L44" s="112" t="str">
        <f>+IF(L3="","",'AFE DETAILED'!R193)</f>
        <v/>
      </c>
      <c r="M44" s="192">
        <f t="shared" si="8"/>
        <v>0</v>
      </c>
    </row>
    <row r="45" spans="2:13" x14ac:dyDescent="0.2">
      <c r="B45" s="183" t="str">
        <f>+'AFE DETAILED'!B194</f>
        <v>E8</v>
      </c>
      <c r="C45" s="113" t="str">
        <f>+'AFE DETAILED'!E199</f>
        <v>TOTAL Production Casing</v>
      </c>
      <c r="D45" s="114">
        <f>+'AFE DETAILED'!G195</f>
        <v>113008</v>
      </c>
      <c r="E45" s="112">
        <f>+IF(E3="","",'AFE DETAILED'!K199)</f>
        <v>0</v>
      </c>
      <c r="F45" s="112">
        <f>+IF(F3="","",'AFE DETAILED'!L199)</f>
        <v>0</v>
      </c>
      <c r="G45" s="112" t="str">
        <f>+IF(G3="","",'AFE DETAILED'!M199)</f>
        <v/>
      </c>
      <c r="H45" s="112" t="str">
        <f>+IF(H3="","",'AFE DETAILED'!N199)</f>
        <v/>
      </c>
      <c r="I45" s="112" t="str">
        <f>+IF(I3="","",'AFE DETAILED'!O199)</f>
        <v/>
      </c>
      <c r="J45" s="112" t="str">
        <f>+IF(J3="","",'AFE DETAILED'!P199)</f>
        <v/>
      </c>
      <c r="K45" s="112" t="str">
        <f>+IF(K3="","",'AFE DETAILED'!Q199)</f>
        <v/>
      </c>
      <c r="L45" s="112" t="str">
        <f>+IF(L3="","",'AFE DETAILED'!R199)</f>
        <v/>
      </c>
      <c r="M45" s="192">
        <f t="shared" si="8"/>
        <v>0</v>
      </c>
    </row>
    <row r="46" spans="2:13" x14ac:dyDescent="0.2">
      <c r="B46" s="183" t="str">
        <f>+'AFE DETAILED'!B200</f>
        <v>E9</v>
      </c>
      <c r="C46" s="113" t="str">
        <f>+'AFE DETAILED'!E205</f>
        <v xml:space="preserve">TOTAL Production Liner </v>
      </c>
      <c r="D46" s="114">
        <f>+'AFE DETAILED'!G201</f>
        <v>113008</v>
      </c>
      <c r="E46" s="112">
        <f>+IF(E3="","",'AFE DETAILED'!K205)</f>
        <v>0</v>
      </c>
      <c r="F46" s="112">
        <f>+IF(F3="","",'AFE DETAILED'!L205)</f>
        <v>0</v>
      </c>
      <c r="G46" s="112" t="str">
        <f>+IF(G3="","",'AFE DETAILED'!M205)</f>
        <v/>
      </c>
      <c r="H46" s="112" t="str">
        <f>+IF(H3="","",'AFE DETAILED'!N205)</f>
        <v/>
      </c>
      <c r="I46" s="112" t="str">
        <f>+IF(I3="","",'AFE DETAILED'!O205)</f>
        <v/>
      </c>
      <c r="J46" s="112" t="str">
        <f>+IF(J3="","",'AFE DETAILED'!P205)</f>
        <v/>
      </c>
      <c r="K46" s="112" t="str">
        <f>+IF(K3="","",'AFE DETAILED'!Q205)</f>
        <v/>
      </c>
      <c r="L46" s="112" t="str">
        <f>+IF(L3="","",'AFE DETAILED'!R205)</f>
        <v/>
      </c>
      <c r="M46" s="192">
        <f t="shared" si="8"/>
        <v>0</v>
      </c>
    </row>
    <row r="47" spans="2:13" x14ac:dyDescent="0.2">
      <c r="B47" s="183" t="str">
        <f>+'AFE DETAILED'!B206</f>
        <v>E10</v>
      </c>
      <c r="C47" s="113" t="str">
        <f>+'AFE DETAILED'!E212</f>
        <v>TOTAL Production tubing</v>
      </c>
      <c r="D47" s="114">
        <f>+'AFE DETAILED'!G208</f>
        <v>113009</v>
      </c>
      <c r="E47" s="112">
        <f>+IF(E3="","",'AFE DETAILED'!K212)</f>
        <v>0</v>
      </c>
      <c r="F47" s="112">
        <f>+IF(F3="","",'AFE DETAILED'!L212)</f>
        <v>0</v>
      </c>
      <c r="G47" s="112" t="str">
        <f>+IF(G3="","",'AFE DETAILED'!M212)</f>
        <v/>
      </c>
      <c r="H47" s="112" t="str">
        <f>+IF(H3="","",'AFE DETAILED'!N212)</f>
        <v/>
      </c>
      <c r="I47" s="112" t="str">
        <f>+IF(I3="","",'AFE DETAILED'!O212)</f>
        <v/>
      </c>
      <c r="J47" s="112" t="str">
        <f>+IF(J3="","",'AFE DETAILED'!P212)</f>
        <v/>
      </c>
      <c r="K47" s="112" t="str">
        <f>+IF(K3="","",'AFE DETAILED'!Q212)</f>
        <v/>
      </c>
      <c r="L47" s="112" t="str">
        <f>+IF(L3="","",'AFE DETAILED'!R212)</f>
        <v/>
      </c>
      <c r="M47" s="192">
        <f t="shared" si="8"/>
        <v>0</v>
      </c>
    </row>
    <row r="48" spans="2:13" x14ac:dyDescent="0.2">
      <c r="B48" s="183" t="str">
        <f>+'AFE DETAILED'!B213</f>
        <v>E11</v>
      </c>
      <c r="C48" s="113" t="str">
        <f>+'AFE DETAILED'!E229</f>
        <v>TOTAL Liner Hangers &amp; Casing/Liner Accessories</v>
      </c>
      <c r="D48" s="114">
        <f>+'AFE DETAILED'!G214</f>
        <v>113010</v>
      </c>
      <c r="E48" s="112">
        <f>+IF(E3="","",'AFE DETAILED'!K229)</f>
        <v>0</v>
      </c>
      <c r="F48" s="112">
        <f>+IF(F3="","",'AFE DETAILED'!L229)</f>
        <v>0</v>
      </c>
      <c r="G48" s="112" t="str">
        <f>+IF(G3="","",'AFE DETAILED'!M229)</f>
        <v/>
      </c>
      <c r="H48" s="112" t="str">
        <f>+IF(H3="","",'AFE DETAILED'!N229)</f>
        <v/>
      </c>
      <c r="I48" s="112" t="str">
        <f>+IF(I3="","",'AFE DETAILED'!O229)</f>
        <v/>
      </c>
      <c r="J48" s="112" t="str">
        <f>+IF(J3="","",'AFE DETAILED'!P229)</f>
        <v/>
      </c>
      <c r="K48" s="112" t="str">
        <f>+IF(K3="","",'AFE DETAILED'!Q229)</f>
        <v/>
      </c>
      <c r="L48" s="112" t="str">
        <f>+IF(L3="","",'AFE DETAILED'!R229)</f>
        <v/>
      </c>
      <c r="M48" s="192">
        <f t="shared" si="8"/>
        <v>0</v>
      </c>
    </row>
    <row r="49" spans="2:13" x14ac:dyDescent="0.2">
      <c r="B49" s="183" t="str">
        <f>+'AFE DETAILED'!B230</f>
        <v>E12</v>
      </c>
      <c r="C49" s="113" t="str">
        <f>+'AFE DETAILED'!E234</f>
        <v>TOTAL Production Tieback</v>
      </c>
      <c r="D49" s="114">
        <f>+'AFE DETAILED'!G231</f>
        <v>113011</v>
      </c>
      <c r="E49" s="112">
        <f>+IF(E3="","",'AFE DETAILED'!K234)</f>
        <v>0</v>
      </c>
      <c r="F49" s="112">
        <f>+IF(F3="","",'AFE DETAILED'!L234)</f>
        <v>0</v>
      </c>
      <c r="G49" s="112" t="str">
        <f>+IF(G3="","",'AFE DETAILED'!M234)</f>
        <v/>
      </c>
      <c r="H49" s="112" t="str">
        <f>+IF(H3="","",'AFE DETAILED'!N234)</f>
        <v/>
      </c>
      <c r="I49" s="112" t="str">
        <f>+IF(I3="","",'AFE DETAILED'!O234)</f>
        <v/>
      </c>
      <c r="J49" s="112" t="str">
        <f>+IF(J3="","",'AFE DETAILED'!P234)</f>
        <v/>
      </c>
      <c r="K49" s="112" t="str">
        <f>+IF(K3="","",'AFE DETAILED'!Q234)</f>
        <v/>
      </c>
      <c r="L49" s="112" t="str">
        <f>+IF(L3="","",'AFE DETAILED'!R234)</f>
        <v/>
      </c>
      <c r="M49" s="192">
        <f t="shared" si="8"/>
        <v>0</v>
      </c>
    </row>
    <row r="50" spans="2:13" x14ac:dyDescent="0.2">
      <c r="B50" s="183" t="str">
        <f>+'AFE DETAILED'!B235</f>
        <v>E13</v>
      </c>
      <c r="C50" s="113" t="str">
        <f>+'AFE DETAILED'!E250</f>
        <v>TOTAL Permanent Completion Equipment</v>
      </c>
      <c r="D50" s="114">
        <f>+'AFE DETAILED'!G237</f>
        <v>113012</v>
      </c>
      <c r="E50" s="112">
        <f>+IF(E3="","",'AFE DETAILED'!K250)</f>
        <v>0</v>
      </c>
      <c r="F50" s="112">
        <f>+IF(F3="","",'AFE DETAILED'!L250)</f>
        <v>0</v>
      </c>
      <c r="G50" s="112" t="str">
        <f>+IF(G3="","",'AFE DETAILED'!M250)</f>
        <v/>
      </c>
      <c r="H50" s="112" t="str">
        <f>+IF(H3="","",'AFE DETAILED'!N250)</f>
        <v/>
      </c>
      <c r="I50" s="112" t="str">
        <f>+IF(I3="","",'AFE DETAILED'!O250)</f>
        <v/>
      </c>
      <c r="J50" s="112" t="str">
        <f>+IF(J3="","",'AFE DETAILED'!P250)</f>
        <v/>
      </c>
      <c r="K50" s="112" t="str">
        <f>+IF(K3="","",'AFE DETAILED'!Q250)</f>
        <v/>
      </c>
      <c r="L50" s="112" t="str">
        <f>+IF(L3="","",'AFE DETAILED'!R250)</f>
        <v/>
      </c>
      <c r="M50" s="192">
        <f t="shared" si="8"/>
        <v>0</v>
      </c>
    </row>
    <row r="51" spans="2:13" ht="13.5" thickBot="1" x14ac:dyDescent="0.25">
      <c r="B51" s="211" t="str">
        <f>+'AFE DETAILED'!B251</f>
        <v>E</v>
      </c>
      <c r="C51" s="212" t="str">
        <f>+'AFE DETAILED'!E251</f>
        <v>TOTAL TANGIBLE CONSUMABLES</v>
      </c>
      <c r="D51" s="213"/>
      <c r="E51" s="214">
        <f>SUM(E38:E50)</f>
        <v>0</v>
      </c>
      <c r="F51" s="214">
        <f t="shared" ref="F51:L51" si="9">SUM(F38:F50)</f>
        <v>0</v>
      </c>
      <c r="G51" s="214">
        <f t="shared" si="9"/>
        <v>0</v>
      </c>
      <c r="H51" s="214">
        <f t="shared" si="9"/>
        <v>0</v>
      </c>
      <c r="I51" s="214">
        <f t="shared" si="9"/>
        <v>0</v>
      </c>
      <c r="J51" s="214">
        <f t="shared" si="9"/>
        <v>0</v>
      </c>
      <c r="K51" s="214">
        <f t="shared" si="9"/>
        <v>0</v>
      </c>
      <c r="L51" s="214">
        <f t="shared" si="9"/>
        <v>0</v>
      </c>
      <c r="M51" s="215">
        <f t="shared" si="8"/>
        <v>0</v>
      </c>
    </row>
    <row r="52" spans="2:13" ht="3.75" customHeight="1" thickBot="1" x14ac:dyDescent="0.25">
      <c r="B52" s="187"/>
      <c r="C52" s="188"/>
      <c r="D52" s="193"/>
      <c r="E52" s="111"/>
      <c r="F52" s="111"/>
      <c r="G52" s="111"/>
      <c r="H52" s="111"/>
      <c r="I52" s="111"/>
      <c r="J52" s="111"/>
      <c r="K52" s="111"/>
      <c r="L52" s="111"/>
      <c r="M52" s="194"/>
    </row>
    <row r="53" spans="2:13" x14ac:dyDescent="0.2">
      <c r="B53" s="210" t="str">
        <f>+'AFE DETAILED'!B253</f>
        <v>F</v>
      </c>
      <c r="C53" s="375" t="str">
        <f>+'AFE DETAILED'!E253</f>
        <v>WELL SERVICES</v>
      </c>
      <c r="D53" s="375"/>
      <c r="E53" s="375"/>
      <c r="F53" s="375"/>
      <c r="G53" s="375"/>
      <c r="H53" s="375"/>
      <c r="I53" s="375"/>
      <c r="J53" s="375"/>
      <c r="K53" s="375"/>
      <c r="L53" s="375"/>
      <c r="M53" s="376"/>
    </row>
    <row r="54" spans="2:13" x14ac:dyDescent="0.2">
      <c r="B54" s="183" t="str">
        <f>+'AFE DETAILED'!B254</f>
        <v>F1</v>
      </c>
      <c r="C54" s="113" t="str">
        <f>+'AFE DETAILED'!E259</f>
        <v>TOTAL Mud/Fluids Engineering</v>
      </c>
      <c r="D54" s="114">
        <f>+'AFE DETAILED'!G255</f>
        <v>114001</v>
      </c>
      <c r="E54" s="112">
        <f>+IF(E3="","",'AFE DETAILED'!K259)</f>
        <v>0</v>
      </c>
      <c r="F54" s="112">
        <f>+IF(F3="","",'AFE DETAILED'!L259)</f>
        <v>0</v>
      </c>
      <c r="G54" s="112" t="str">
        <f>+IF(G3="","",'AFE DETAILED'!M259)</f>
        <v/>
      </c>
      <c r="H54" s="112" t="str">
        <f>+IF(H3="","",'AFE DETAILED'!N259)</f>
        <v/>
      </c>
      <c r="I54" s="112" t="str">
        <f>+IF(I3="","",'AFE DETAILED'!O259)</f>
        <v/>
      </c>
      <c r="J54" s="112" t="str">
        <f>+IF(J3="","",'AFE DETAILED'!P259)</f>
        <v/>
      </c>
      <c r="K54" s="112" t="str">
        <f>+IF(K3="","",'AFE DETAILED'!Q259)</f>
        <v/>
      </c>
      <c r="L54" s="112" t="str">
        <f>+IF(L3="","",'AFE DETAILED'!R259)</f>
        <v/>
      </c>
      <c r="M54" s="192">
        <f>SUM(E54:L54)</f>
        <v>0</v>
      </c>
    </row>
    <row r="55" spans="2:13" x14ac:dyDescent="0.2">
      <c r="B55" s="183" t="str">
        <f>+'AFE DETAILED'!B260</f>
        <v>F2</v>
      </c>
      <c r="C55" s="113" t="str">
        <f>+'AFE DETAILED'!E265</f>
        <v>TOTAL Casing/Tubing Running</v>
      </c>
      <c r="D55" s="114">
        <f>+'AFE DETAILED'!G263</f>
        <v>114002</v>
      </c>
      <c r="E55" s="112">
        <f>+IF(E3="","",'AFE DETAILED'!K265)</f>
        <v>0</v>
      </c>
      <c r="F55" s="112">
        <f>+IF(F3="","",'AFE DETAILED'!L265)</f>
        <v>0</v>
      </c>
      <c r="G55" s="112" t="str">
        <f>+IF(G3="","",'AFE DETAILED'!M265)</f>
        <v/>
      </c>
      <c r="H55" s="112" t="str">
        <f>+IF(H3="","",'AFE DETAILED'!N265)</f>
        <v/>
      </c>
      <c r="I55" s="112" t="str">
        <f>+IF(I3="","",'AFE DETAILED'!O265)</f>
        <v/>
      </c>
      <c r="J55" s="112" t="str">
        <f>+IF(J3="","",'AFE DETAILED'!P265)</f>
        <v/>
      </c>
      <c r="K55" s="112" t="str">
        <f>+IF(K3="","",'AFE DETAILED'!Q265)</f>
        <v/>
      </c>
      <c r="L55" s="112" t="str">
        <f>+IF(L3="","",'AFE DETAILED'!R265)</f>
        <v/>
      </c>
      <c r="M55" s="192">
        <f t="shared" ref="M55:M82" si="10">SUM(E55:L55)</f>
        <v>0</v>
      </c>
    </row>
    <row r="56" spans="2:13" x14ac:dyDescent="0.2">
      <c r="B56" s="183" t="str">
        <f>+'AFE DETAILED'!B266</f>
        <v>F3</v>
      </c>
      <c r="C56" s="113" t="str">
        <f>+'AFE DETAILED'!E282</f>
        <v>TOTAL Cement Services</v>
      </c>
      <c r="D56" s="114">
        <f>+'AFE DETAILED'!G267</f>
        <v>114003</v>
      </c>
      <c r="E56" s="112">
        <f>+IF(E3="","",'AFE DETAILED'!K282)</f>
        <v>0</v>
      </c>
      <c r="F56" s="112">
        <f>+IF(F3="","",'AFE DETAILED'!L282)</f>
        <v>0</v>
      </c>
      <c r="G56" s="112" t="str">
        <f>+IF(G3="","",'AFE DETAILED'!M282)</f>
        <v/>
      </c>
      <c r="H56" s="112" t="str">
        <f>+IF(H3="","",'AFE DETAILED'!N282)</f>
        <v/>
      </c>
      <c r="I56" s="112" t="str">
        <f>+IF(I3="","",'AFE DETAILED'!O282)</f>
        <v/>
      </c>
      <c r="J56" s="112" t="str">
        <f>+IF(J3="","",'AFE DETAILED'!P282)</f>
        <v/>
      </c>
      <c r="K56" s="112" t="str">
        <f>+IF(K3="","",'AFE DETAILED'!Q282)</f>
        <v/>
      </c>
      <c r="L56" s="112" t="str">
        <f>+IF(L3="","",'AFE DETAILED'!R282)</f>
        <v/>
      </c>
      <c r="M56" s="192">
        <f t="shared" si="10"/>
        <v>0</v>
      </c>
    </row>
    <row r="57" spans="2:13" x14ac:dyDescent="0.2">
      <c r="B57" s="183" t="str">
        <f>+'AFE DETAILED'!B283</f>
        <v>F4</v>
      </c>
      <c r="C57" s="113" t="str">
        <f>+'AFE DETAILED'!E292</f>
        <v>TOTAL Mud Logging &amp; Drilling Data Logs</v>
      </c>
      <c r="D57" s="114">
        <f>+'AFE DETAILED'!G284</f>
        <v>114004</v>
      </c>
      <c r="E57" s="112">
        <f>+IF(E3="","",'AFE DETAILED'!K292)</f>
        <v>0</v>
      </c>
      <c r="F57" s="112">
        <f>+IF(F3="","",'AFE DETAILED'!L292)</f>
        <v>0</v>
      </c>
      <c r="G57" s="112" t="str">
        <f>+IF(G3="","",'AFE DETAILED'!M292)</f>
        <v/>
      </c>
      <c r="H57" s="112" t="str">
        <f>+IF(H3="","",'AFE DETAILED'!N292)</f>
        <v/>
      </c>
      <c r="I57" s="112" t="str">
        <f>+IF(I3="","",'AFE DETAILED'!O292)</f>
        <v/>
      </c>
      <c r="J57" s="112" t="str">
        <f>+IF(J3="","",'AFE DETAILED'!P292)</f>
        <v/>
      </c>
      <c r="K57" s="112" t="str">
        <f>+IF(K3="","",'AFE DETAILED'!Q292)</f>
        <v/>
      </c>
      <c r="L57" s="112" t="str">
        <f>+IF(L3="","",'AFE DETAILED'!R292)</f>
        <v/>
      </c>
      <c r="M57" s="192">
        <f t="shared" si="10"/>
        <v>0</v>
      </c>
    </row>
    <row r="58" spans="2:13" x14ac:dyDescent="0.2">
      <c r="B58" s="183" t="str">
        <f>+'AFE DETAILED'!B293</f>
        <v>F5</v>
      </c>
      <c r="C58" s="113" t="str">
        <f>+'AFE DETAILED'!E299</f>
        <v>TOTAL Wellbore Gyro / Surveys</v>
      </c>
      <c r="D58" s="114">
        <f>+'AFE DETAILED'!G294</f>
        <v>114005</v>
      </c>
      <c r="E58" s="112">
        <f>+IF(E3="","",'AFE DETAILED'!K299)</f>
        <v>0</v>
      </c>
      <c r="F58" s="112">
        <f>+IF(F3="","",'AFE DETAILED'!L299)</f>
        <v>0</v>
      </c>
      <c r="G58" s="112" t="str">
        <f>+IF(G3="","",'AFE DETAILED'!M299)</f>
        <v/>
      </c>
      <c r="H58" s="112" t="str">
        <f>+IF(H3="","",'AFE DETAILED'!N299)</f>
        <v/>
      </c>
      <c r="I58" s="112" t="str">
        <f>+IF(I3="","",'AFE DETAILED'!O299)</f>
        <v/>
      </c>
      <c r="J58" s="112" t="str">
        <f>+IF(J3="","",'AFE DETAILED'!P299)</f>
        <v/>
      </c>
      <c r="K58" s="112" t="str">
        <f>+IF(K3="","",'AFE DETAILED'!Q299)</f>
        <v/>
      </c>
      <c r="L58" s="112" t="str">
        <f>+IF(L3="","",'AFE DETAILED'!R299)</f>
        <v/>
      </c>
      <c r="M58" s="192">
        <f t="shared" si="10"/>
        <v>0</v>
      </c>
    </row>
    <row r="59" spans="2:13" x14ac:dyDescent="0.2">
      <c r="B59" s="183" t="str">
        <f>+'AFE DETAILED'!B300</f>
        <v>F6</v>
      </c>
      <c r="C59" s="113" t="str">
        <f>+'AFE DETAILED'!E307</f>
        <v>TOTAL PDM/Turbine Drilling</v>
      </c>
      <c r="D59" s="114">
        <f>+'AFE DETAILED'!G301</f>
        <v>114006</v>
      </c>
      <c r="E59" s="112">
        <f>+IF(E3="","",'AFE DETAILED'!K307)</f>
        <v>0</v>
      </c>
      <c r="F59" s="112">
        <f>+IF(F3="","",'AFE DETAILED'!L307)</f>
        <v>0</v>
      </c>
      <c r="G59" s="112" t="str">
        <f>+IF(G3="","",'AFE DETAILED'!M307)</f>
        <v/>
      </c>
      <c r="H59" s="112" t="str">
        <f>+IF(H3="","",'AFE DETAILED'!N307)</f>
        <v/>
      </c>
      <c r="I59" s="112" t="str">
        <f>+IF(I3="","",'AFE DETAILED'!O307)</f>
        <v/>
      </c>
      <c r="J59" s="112" t="str">
        <f>+IF(J3="","",'AFE DETAILED'!P307)</f>
        <v/>
      </c>
      <c r="K59" s="112" t="str">
        <f>+IF(K3="","",'AFE DETAILED'!Q307)</f>
        <v/>
      </c>
      <c r="L59" s="112" t="str">
        <f>+IF(L3="","",'AFE DETAILED'!R307)</f>
        <v/>
      </c>
      <c r="M59" s="192">
        <f t="shared" si="10"/>
        <v>0</v>
      </c>
    </row>
    <row r="60" spans="2:13" x14ac:dyDescent="0.2">
      <c r="B60" s="183" t="str">
        <f>+'AFE DETAILED'!B308</f>
        <v>F7</v>
      </c>
      <c r="C60" s="113" t="str">
        <f>+'AFE DETAILED'!E340</f>
        <v>TOTAL Directional Drilling and MWD</v>
      </c>
      <c r="D60" s="114">
        <f>+'AFE DETAILED'!G309</f>
        <v>114007</v>
      </c>
      <c r="E60" s="112">
        <f>+IF(E3="","",'AFE DETAILED'!K340)</f>
        <v>0</v>
      </c>
      <c r="F60" s="112">
        <f>+IF(F3="","",'AFE DETAILED'!L340)</f>
        <v>0</v>
      </c>
      <c r="G60" s="112" t="str">
        <f>+IF(G3="","",'AFE DETAILED'!M340)</f>
        <v/>
      </c>
      <c r="H60" s="112" t="str">
        <f>+IF(H3="","",'AFE DETAILED'!N340)</f>
        <v/>
      </c>
      <c r="I60" s="112" t="str">
        <f>+IF(I3="","",'AFE DETAILED'!O340)</f>
        <v/>
      </c>
      <c r="J60" s="112" t="str">
        <f>+IF(J3="","",'AFE DETAILED'!P340)</f>
        <v/>
      </c>
      <c r="K60" s="112" t="str">
        <f>+IF(K3="","",'AFE DETAILED'!Q340)</f>
        <v/>
      </c>
      <c r="L60" s="112" t="str">
        <f>+IF(L3="","",'AFE DETAILED'!R340)</f>
        <v/>
      </c>
      <c r="M60" s="192">
        <f t="shared" si="10"/>
        <v>0</v>
      </c>
    </row>
    <row r="61" spans="2:13" x14ac:dyDescent="0.2">
      <c r="B61" s="183" t="str">
        <f>+'AFE DETAILED'!B341</f>
        <v>F8</v>
      </c>
      <c r="C61" s="113" t="str">
        <f>+'AFE DETAILED'!E351</f>
        <v>TOTAL Fishing and/or Stuck Pipe Incidents</v>
      </c>
      <c r="D61" s="114">
        <f>+'AFE DETAILED'!G342</f>
        <v>114008</v>
      </c>
      <c r="E61" s="112">
        <f>+IF(E3="","",'AFE DETAILED'!K351)</f>
        <v>0</v>
      </c>
      <c r="F61" s="112">
        <f>+IF(F3="","",'AFE DETAILED'!L351)</f>
        <v>0</v>
      </c>
      <c r="G61" s="112" t="str">
        <f>+IF(G3="","",'AFE DETAILED'!M351)</f>
        <v/>
      </c>
      <c r="H61" s="112" t="str">
        <f>+IF(H3="","",'AFE DETAILED'!N351)</f>
        <v/>
      </c>
      <c r="I61" s="112" t="str">
        <f>+IF(I3="","",'AFE DETAILED'!O351)</f>
        <v/>
      </c>
      <c r="J61" s="112" t="str">
        <f>+IF(J3="","",'AFE DETAILED'!P351)</f>
        <v/>
      </c>
      <c r="K61" s="112" t="str">
        <f>+IF(K3="","",'AFE DETAILED'!Q351)</f>
        <v/>
      </c>
      <c r="L61" s="112" t="str">
        <f>+IF(L3="","",'AFE DETAILED'!R351)</f>
        <v/>
      </c>
      <c r="M61" s="192">
        <f t="shared" si="10"/>
        <v>0</v>
      </c>
    </row>
    <row r="62" spans="2:13" x14ac:dyDescent="0.2">
      <c r="B62" s="183" t="str">
        <f>+'AFE DETAILED'!B352</f>
        <v>F9</v>
      </c>
      <c r="C62" s="113" t="str">
        <f>+'AFE DETAILED'!E370</f>
        <v>TOTAL wire Line Logging and/or LWD</v>
      </c>
      <c r="D62" s="114">
        <f>+'AFE DETAILED'!G353</f>
        <v>114009</v>
      </c>
      <c r="E62" s="112">
        <f>+IF(E3="","",'AFE DETAILED'!K370)</f>
        <v>0</v>
      </c>
      <c r="F62" s="112">
        <f>+IF(F3="","",'AFE DETAILED'!L370)</f>
        <v>0</v>
      </c>
      <c r="G62" s="112" t="str">
        <f>+IF(G3="","",'AFE DETAILED'!M370)</f>
        <v/>
      </c>
      <c r="H62" s="112" t="str">
        <f>+IF(H3="","",'AFE DETAILED'!N370)</f>
        <v/>
      </c>
      <c r="I62" s="112" t="str">
        <f>+IF(I3="","",'AFE DETAILED'!O370)</f>
        <v/>
      </c>
      <c r="J62" s="112" t="str">
        <f>+IF(J3="","",'AFE DETAILED'!P370)</f>
        <v/>
      </c>
      <c r="K62" s="112" t="str">
        <f>+IF(K3="","",'AFE DETAILED'!Q370)</f>
        <v/>
      </c>
      <c r="L62" s="112" t="str">
        <f>+IF(L3="","",'AFE DETAILED'!R370)</f>
        <v/>
      </c>
      <c r="M62" s="192">
        <f t="shared" si="10"/>
        <v>0</v>
      </c>
    </row>
    <row r="63" spans="2:13" x14ac:dyDescent="0.2">
      <c r="B63" s="183" t="str">
        <f>+'AFE DETAILED'!B371</f>
        <v>F10</v>
      </c>
      <c r="C63" s="113" t="str">
        <f>+'AFE DETAILED'!E378</f>
        <v>TOTAL Perforating</v>
      </c>
      <c r="D63" s="114">
        <f>+'AFE DETAILED'!G372</f>
        <v>114010</v>
      </c>
      <c r="E63" s="112">
        <f>+IF(E3="","",'AFE DETAILED'!K378)</f>
        <v>0</v>
      </c>
      <c r="F63" s="112">
        <f>+IF(F3="","",'AFE DETAILED'!L378)</f>
        <v>0</v>
      </c>
      <c r="G63" s="112" t="str">
        <f>+IF(G3="","",'AFE DETAILED'!M378)</f>
        <v/>
      </c>
      <c r="H63" s="112" t="str">
        <f>+IF(H3="","",'AFE DETAILED'!N378)</f>
        <v/>
      </c>
      <c r="I63" s="112" t="str">
        <f>+IF(I3="","",'AFE DETAILED'!O378)</f>
        <v/>
      </c>
      <c r="J63" s="112" t="str">
        <f>+IF(J3="","",'AFE DETAILED'!P378)</f>
        <v/>
      </c>
      <c r="K63" s="112" t="str">
        <f>+IF(K3="","",'AFE DETAILED'!Q378)</f>
        <v/>
      </c>
      <c r="L63" s="112" t="str">
        <f>+IF(L3="","",'AFE DETAILED'!R378)</f>
        <v/>
      </c>
      <c r="M63" s="192">
        <f t="shared" si="10"/>
        <v>0</v>
      </c>
    </row>
    <row r="64" spans="2:13" x14ac:dyDescent="0.2">
      <c r="B64" s="183" t="str">
        <f>+'AFE DETAILED'!B379</f>
        <v>F11</v>
      </c>
      <c r="C64" s="113" t="str">
        <f>+'AFE DETAILED'!E393</f>
        <v>TOTAL Well testing</v>
      </c>
      <c r="D64" s="114">
        <f>+'AFE DETAILED'!G380</f>
        <v>114011</v>
      </c>
      <c r="E64" s="112">
        <f>+IF(E3="","",'AFE DETAILED'!K393)</f>
        <v>0</v>
      </c>
      <c r="F64" s="112">
        <f>+IF(F3="","",'AFE DETAILED'!L393)</f>
        <v>0</v>
      </c>
      <c r="G64" s="112" t="str">
        <f>+IF(G3="","",'AFE DETAILED'!M393)</f>
        <v/>
      </c>
      <c r="H64" s="112" t="str">
        <f>+IF(H3="","",'AFE DETAILED'!N393)</f>
        <v/>
      </c>
      <c r="I64" s="112" t="str">
        <f>+IF(I3="","",'AFE DETAILED'!O393)</f>
        <v/>
      </c>
      <c r="J64" s="112" t="str">
        <f>+IF(J3="","",'AFE DETAILED'!P393)</f>
        <v/>
      </c>
      <c r="K64" s="112" t="str">
        <f>+IF(K3="","",'AFE DETAILED'!Q393)</f>
        <v/>
      </c>
      <c r="L64" s="112" t="str">
        <f>+IF(L3="","",'AFE DETAILED'!R393)</f>
        <v/>
      </c>
      <c r="M64" s="192">
        <f t="shared" si="10"/>
        <v>0</v>
      </c>
    </row>
    <row r="65" spans="2:13" x14ac:dyDescent="0.2">
      <c r="B65" s="183" t="str">
        <f>+'AFE DETAILED'!B394</f>
        <v>F12</v>
      </c>
      <c r="C65" s="113" t="str">
        <f>+'AFE DETAILED'!E403</f>
        <v>TOTAL Slick line Services</v>
      </c>
      <c r="D65" s="114">
        <f>+'AFE DETAILED'!G395</f>
        <v>114012</v>
      </c>
      <c r="E65" s="112">
        <f>++IF(E3="","",'AFE DETAILED'!K403)</f>
        <v>0</v>
      </c>
      <c r="F65" s="112">
        <f>++IF(F3="","",'AFE DETAILED'!L403)</f>
        <v>0</v>
      </c>
      <c r="G65" s="112" t="str">
        <f>++IF(G3="","",'AFE DETAILED'!M403)</f>
        <v/>
      </c>
      <c r="H65" s="112" t="str">
        <f>++IF(H3="","",'AFE DETAILED'!N403)</f>
        <v/>
      </c>
      <c r="I65" s="112" t="str">
        <f>++IF(I3="","",'AFE DETAILED'!O403)</f>
        <v/>
      </c>
      <c r="J65" s="112" t="str">
        <f>++IF(J3="","",'AFE DETAILED'!P403)</f>
        <v/>
      </c>
      <c r="K65" s="112" t="str">
        <f>++IF(K3="","",'AFE DETAILED'!Q403)</f>
        <v/>
      </c>
      <c r="L65" s="112" t="str">
        <f>++IF(L3="","",'AFE DETAILED'!R403)</f>
        <v/>
      </c>
      <c r="M65" s="192">
        <f t="shared" si="10"/>
        <v>0</v>
      </c>
    </row>
    <row r="66" spans="2:13" x14ac:dyDescent="0.2">
      <c r="B66" s="183" t="str">
        <f>+'AFE DETAILED'!B404</f>
        <v>F13</v>
      </c>
      <c r="C66" s="113" t="str">
        <f>+'AFE DETAILED'!E414</f>
        <v>TOTAL Core Barrel Rental/Operator</v>
      </c>
      <c r="D66" s="114">
        <f>+'AFE DETAILED'!G405</f>
        <v>114013</v>
      </c>
      <c r="E66" s="112">
        <f>+IF(E3="","",'AFE DETAILED'!K414)</f>
        <v>0</v>
      </c>
      <c r="F66" s="112">
        <f>+IF(F3="","",'AFE DETAILED'!L414)</f>
        <v>0</v>
      </c>
      <c r="G66" s="112" t="str">
        <f>+IF(G3="","",'AFE DETAILED'!M414)</f>
        <v/>
      </c>
      <c r="H66" s="112" t="str">
        <f>+IF(H3="","",'AFE DETAILED'!N414)</f>
        <v/>
      </c>
      <c r="I66" s="112" t="str">
        <f>+IF(I3="","",'AFE DETAILED'!O414)</f>
        <v/>
      </c>
      <c r="J66" s="112" t="str">
        <f>+IF(J3="","",'AFE DETAILED'!P414)</f>
        <v/>
      </c>
      <c r="K66" s="112" t="str">
        <f>+IF(K3="","",'AFE DETAILED'!Q414)</f>
        <v/>
      </c>
      <c r="L66" s="112" t="str">
        <f>+IF(L3="","",'AFE DETAILED'!R414)</f>
        <v/>
      </c>
      <c r="M66" s="192">
        <f t="shared" si="10"/>
        <v>0</v>
      </c>
    </row>
    <row r="67" spans="2:13" x14ac:dyDescent="0.2">
      <c r="B67" s="183" t="str">
        <f>+'AFE DETAILED'!B415</f>
        <v>F14</v>
      </c>
      <c r="C67" s="113" t="str">
        <f>+'AFE DETAILED'!E420</f>
        <v>TOTAL Coiled Tubing Services</v>
      </c>
      <c r="D67" s="114">
        <f>+'AFE DETAILED'!G416</f>
        <v>114014</v>
      </c>
      <c r="E67" s="112">
        <f>+IF(E3="","",'AFE DETAILED'!K420)</f>
        <v>0</v>
      </c>
      <c r="F67" s="112">
        <f>+IF(F3="","",'AFE DETAILED'!L420)</f>
        <v>0</v>
      </c>
      <c r="G67" s="112" t="str">
        <f>+IF(G3="","",'AFE DETAILED'!M420)</f>
        <v/>
      </c>
      <c r="H67" s="112" t="str">
        <f>+IF(H3="","",'AFE DETAILED'!N420)</f>
        <v/>
      </c>
      <c r="I67" s="112" t="str">
        <f>+IF(I3="","",'AFE DETAILED'!O420)</f>
        <v/>
      </c>
      <c r="J67" s="112" t="str">
        <f>+IF(J3="","",'AFE DETAILED'!P420)</f>
        <v/>
      </c>
      <c r="K67" s="112" t="str">
        <f>+IF(K3="","",'AFE DETAILED'!Q420)</f>
        <v/>
      </c>
      <c r="L67" s="112" t="str">
        <f>+IF(L3="","",'AFE DETAILED'!R420)</f>
        <v/>
      </c>
      <c r="M67" s="192">
        <f t="shared" si="10"/>
        <v>0</v>
      </c>
    </row>
    <row r="68" spans="2:13" x14ac:dyDescent="0.2">
      <c r="B68" s="183" t="str">
        <f>+'AFE DETAILED'!B421</f>
        <v>F15</v>
      </c>
      <c r="C68" s="113" t="str">
        <f>+'AFE DETAILED'!E425</f>
        <v>TOTAL Core analysis</v>
      </c>
      <c r="D68" s="114">
        <f>+'AFE DETAILED'!G422</f>
        <v>114015</v>
      </c>
      <c r="E68" s="112">
        <f>+IF(E3="","",'AFE DETAILED'!K425)</f>
        <v>0</v>
      </c>
      <c r="F68" s="112">
        <f>+IF(F3="","",'AFE DETAILED'!L425)</f>
        <v>0</v>
      </c>
      <c r="G68" s="112" t="str">
        <f>+IF(G3="","",'AFE DETAILED'!M425)</f>
        <v/>
      </c>
      <c r="H68" s="112" t="str">
        <f>+IF(H3="","",'AFE DETAILED'!N425)</f>
        <v/>
      </c>
      <c r="I68" s="112" t="str">
        <f>+IF(I3="","",'AFE DETAILED'!O425)</f>
        <v/>
      </c>
      <c r="J68" s="112" t="str">
        <f>+IF(J3="","",'AFE DETAILED'!P425)</f>
        <v/>
      </c>
      <c r="K68" s="112" t="str">
        <f>+IF(K3="","",'AFE DETAILED'!Q425)</f>
        <v/>
      </c>
      <c r="L68" s="112" t="str">
        <f>+IF(L3="","",'AFE DETAILED'!R425)</f>
        <v/>
      </c>
      <c r="M68" s="192">
        <f t="shared" si="10"/>
        <v>0</v>
      </c>
    </row>
    <row r="69" spans="2:13" x14ac:dyDescent="0.2">
      <c r="B69" s="183" t="str">
        <f>+'AFE DETAILED'!B426</f>
        <v>F16</v>
      </c>
      <c r="C69" s="113" t="str">
        <f>+'AFE DETAILED'!E431</f>
        <v>TOTAL Nitrogen Services</v>
      </c>
      <c r="D69" s="114">
        <f>+'AFE DETAILED'!G427</f>
        <v>114016</v>
      </c>
      <c r="E69" s="112">
        <f>+IF(E3="","",'AFE DETAILED'!K431)</f>
        <v>0</v>
      </c>
      <c r="F69" s="112">
        <f>+IF(F3="","",'AFE DETAILED'!L431)</f>
        <v>0</v>
      </c>
      <c r="G69" s="112" t="str">
        <f>+IF(G3="","",'AFE DETAILED'!M431)</f>
        <v/>
      </c>
      <c r="H69" s="112" t="str">
        <f>+IF(H3="","",'AFE DETAILED'!N431)</f>
        <v/>
      </c>
      <c r="I69" s="112" t="str">
        <f>+IF(I3="","",'AFE DETAILED'!O431)</f>
        <v/>
      </c>
      <c r="J69" s="112" t="str">
        <f>+IF(J3="","",'AFE DETAILED'!P431)</f>
        <v/>
      </c>
      <c r="K69" s="112" t="str">
        <f>+IF(K3="","",'AFE DETAILED'!Q431)</f>
        <v/>
      </c>
      <c r="L69" s="112" t="str">
        <f>+IF(L3="","",'AFE DETAILED'!R431)</f>
        <v/>
      </c>
      <c r="M69" s="192">
        <f t="shared" si="10"/>
        <v>0</v>
      </c>
    </row>
    <row r="70" spans="2:13" x14ac:dyDescent="0.2">
      <c r="B70" s="183" t="str">
        <f>+'AFE DETAILED'!B432</f>
        <v>F17</v>
      </c>
      <c r="C70" s="113" t="str">
        <f>+'AFE DETAILED'!E439</f>
        <v>TOTAL Fluid Sampling &amp; Analysis</v>
      </c>
      <c r="D70" s="114">
        <f>+'AFE DETAILED'!G433</f>
        <v>114017</v>
      </c>
      <c r="E70" s="112">
        <f>+IF(E3="","",'AFE DETAILED'!K439)</f>
        <v>0</v>
      </c>
      <c r="F70" s="112">
        <f>+IF(F3="","",'AFE DETAILED'!L439)</f>
        <v>0</v>
      </c>
      <c r="G70" s="112" t="str">
        <f>+IF(G3="","",'AFE DETAILED'!M439)</f>
        <v/>
      </c>
      <c r="H70" s="112" t="str">
        <f>+IF(H3="","",'AFE DETAILED'!N439)</f>
        <v/>
      </c>
      <c r="I70" s="112" t="str">
        <f>+IF(I3="","",'AFE DETAILED'!O439)</f>
        <v/>
      </c>
      <c r="J70" s="112" t="str">
        <f>+IF(J3="","",'AFE DETAILED'!P439)</f>
        <v/>
      </c>
      <c r="K70" s="112" t="str">
        <f>+IF(K3="","",'AFE DETAILED'!Q439)</f>
        <v/>
      </c>
      <c r="L70" s="112" t="str">
        <f>+IF(L3="","",'AFE DETAILED'!R439)</f>
        <v/>
      </c>
      <c r="M70" s="192">
        <f t="shared" si="10"/>
        <v>0</v>
      </c>
    </row>
    <row r="71" spans="2:13" x14ac:dyDescent="0.2">
      <c r="B71" s="183" t="str">
        <f>+'AFE DETAILED'!B440</f>
        <v>F18</v>
      </c>
      <c r="C71" s="113" t="str">
        <f>+'AFE DETAILED'!E450</f>
        <v>TOTAL Inspection Services</v>
      </c>
      <c r="D71" s="114">
        <f>+'AFE DETAILED'!G441</f>
        <v>114018</v>
      </c>
      <c r="E71" s="112">
        <f>+IF(E3="","",'AFE DETAILED'!K450)</f>
        <v>0</v>
      </c>
      <c r="F71" s="112">
        <f>+IF(F3="","",'AFE DETAILED'!L450)</f>
        <v>0</v>
      </c>
      <c r="G71" s="112" t="str">
        <f>+IF(G3="","",'AFE DETAILED'!M450)</f>
        <v/>
      </c>
      <c r="H71" s="112" t="str">
        <f>+IF(H3="","",'AFE DETAILED'!N450)</f>
        <v/>
      </c>
      <c r="I71" s="112" t="str">
        <f>+IF(I3="","",'AFE DETAILED'!O450)</f>
        <v/>
      </c>
      <c r="J71" s="112" t="str">
        <f>+IF(J3="","",'AFE DETAILED'!P450)</f>
        <v/>
      </c>
      <c r="K71" s="112" t="str">
        <f>+IF(K3="","",'AFE DETAILED'!Q450)</f>
        <v/>
      </c>
      <c r="L71" s="112" t="str">
        <f>+IF(L3="","",'AFE DETAILED'!R450)</f>
        <v/>
      </c>
      <c r="M71" s="192">
        <f t="shared" si="10"/>
        <v>0</v>
      </c>
    </row>
    <row r="72" spans="2:13" x14ac:dyDescent="0.2">
      <c r="B72" s="183" t="str">
        <f>+'AFE DETAILED'!B451</f>
        <v>F19</v>
      </c>
      <c r="C72" s="113" t="str">
        <f>+'AFE DETAILED'!E460</f>
        <v>TOTAL Solids control services</v>
      </c>
      <c r="D72" s="114">
        <f>+'AFE DETAILED'!G452</f>
        <v>114019</v>
      </c>
      <c r="E72" s="112">
        <f>+IF(E3="","",'AFE DETAILED'!K460)</f>
        <v>0</v>
      </c>
      <c r="F72" s="112">
        <f>+IF(F3="","",'AFE DETAILED'!L460)</f>
        <v>0</v>
      </c>
      <c r="G72" s="112" t="str">
        <f>+IF(G3="","",'AFE DETAILED'!M460)</f>
        <v/>
      </c>
      <c r="H72" s="112" t="str">
        <f>+IF(H3="","",'AFE DETAILED'!N460)</f>
        <v/>
      </c>
      <c r="I72" s="112" t="str">
        <f>+IF(I3="","",'AFE DETAILED'!O460)</f>
        <v/>
      </c>
      <c r="J72" s="112" t="str">
        <f>+IF(J3="","",'AFE DETAILED'!P460)</f>
        <v/>
      </c>
      <c r="K72" s="112" t="str">
        <f>+IF(K3="","",'AFE DETAILED'!Q460)</f>
        <v/>
      </c>
      <c r="L72" s="112" t="str">
        <f>+IF(L3="","",'AFE DETAILED'!R460)</f>
        <v/>
      </c>
      <c r="M72" s="192">
        <f t="shared" si="10"/>
        <v>0</v>
      </c>
    </row>
    <row r="73" spans="2:13" x14ac:dyDescent="0.2">
      <c r="B73" s="183" t="str">
        <f>+'AFE DETAILED'!B461</f>
        <v>F20</v>
      </c>
      <c r="C73" s="113" t="str">
        <f>+'AFE DETAILED'!E473</f>
        <v>TOTAL Liquid waste management services</v>
      </c>
      <c r="D73" s="114">
        <f>+'AFE DETAILED'!G462</f>
        <v>114019</v>
      </c>
      <c r="E73" s="112">
        <f>+IF(E3="","",'AFE DETAILED'!K473)</f>
        <v>0</v>
      </c>
      <c r="F73" s="112">
        <f>+IF(F3="","",'AFE DETAILED'!L473)</f>
        <v>0</v>
      </c>
      <c r="G73" s="112" t="str">
        <f>+IF(G3="","",'AFE DETAILED'!M473)</f>
        <v/>
      </c>
      <c r="H73" s="112" t="str">
        <f>+IF(H3="","",'AFE DETAILED'!N473)</f>
        <v/>
      </c>
      <c r="I73" s="112" t="str">
        <f>+IF(I3="","",'AFE DETAILED'!O473)</f>
        <v/>
      </c>
      <c r="J73" s="112" t="str">
        <f>+IF(J3="","",'AFE DETAILED'!P473)</f>
        <v/>
      </c>
      <c r="K73" s="112" t="str">
        <f>+IF(K3="","",'AFE DETAILED'!Q473)</f>
        <v/>
      </c>
      <c r="L73" s="112" t="str">
        <f>+IF(L3="","",'AFE DETAILED'!R473)</f>
        <v/>
      </c>
      <c r="M73" s="192">
        <f t="shared" si="10"/>
        <v>0</v>
      </c>
    </row>
    <row r="74" spans="2:13" x14ac:dyDescent="0.2">
      <c r="B74" s="183" t="str">
        <f>+'AFE DETAILED'!B474</f>
        <v>F21</v>
      </c>
      <c r="C74" s="113" t="str">
        <f>+'AFE DETAILED'!E474</f>
        <v>Fracturing / Stimulation</v>
      </c>
      <c r="D74" s="114">
        <f>+'AFE DETAILED'!G475</f>
        <v>114020</v>
      </c>
      <c r="E74" s="112">
        <f>+IF(E3="","",'AFE DETAILED'!K479)</f>
        <v>0</v>
      </c>
      <c r="F74" s="112">
        <f>+IF(F3="","",'AFE DETAILED'!L479)</f>
        <v>0</v>
      </c>
      <c r="G74" s="112" t="str">
        <f>+IF(G3="","",'AFE DETAILED'!M479)</f>
        <v/>
      </c>
      <c r="H74" s="112" t="str">
        <f>+IF(H3="","",'AFE DETAILED'!N479)</f>
        <v/>
      </c>
      <c r="I74" s="112" t="str">
        <f>+IF(I3="","",'AFE DETAILED'!O479)</f>
        <v/>
      </c>
      <c r="J74" s="112" t="str">
        <f>+IF(J3="","",'AFE DETAILED'!P479)</f>
        <v/>
      </c>
      <c r="K74" s="112" t="str">
        <f>+IF(K3="","",'AFE DETAILED'!Q479)</f>
        <v/>
      </c>
      <c r="L74" s="112" t="str">
        <f>+IF(L3="","",'AFE DETAILED'!R479)</f>
        <v/>
      </c>
      <c r="M74" s="192">
        <f t="shared" si="10"/>
        <v>0</v>
      </c>
    </row>
    <row r="75" spans="2:13" x14ac:dyDescent="0.2">
      <c r="B75" s="183" t="str">
        <f>+'AFE DETAILED'!B480</f>
        <v>F22</v>
      </c>
      <c r="C75" s="113" t="str">
        <f>+'AFE DETAILED'!E500</f>
        <v>TOTAL Down Hole Tool Rental</v>
      </c>
      <c r="D75" s="114">
        <f>+'AFE DETAILED'!G481</f>
        <v>114021</v>
      </c>
      <c r="E75" s="112">
        <f>+IF(E3="","",'AFE DETAILED'!K500)</f>
        <v>0</v>
      </c>
      <c r="F75" s="112">
        <f>+IF(F3="","",'AFE DETAILED'!L500)</f>
        <v>0</v>
      </c>
      <c r="G75" s="112" t="str">
        <f>+IF(G3="","",'AFE DETAILED'!M500)</f>
        <v/>
      </c>
      <c r="H75" s="112" t="str">
        <f>+IF(H3="","",'AFE DETAILED'!N500)</f>
        <v/>
      </c>
      <c r="I75" s="112" t="str">
        <f>+IF(I3="","",'AFE DETAILED'!O500)</f>
        <v/>
      </c>
      <c r="J75" s="112" t="str">
        <f>+IF(J3="","",'AFE DETAILED'!P500)</f>
        <v/>
      </c>
      <c r="K75" s="112" t="str">
        <f>+IF(K3="","",'AFE DETAILED'!Q500)</f>
        <v/>
      </c>
      <c r="L75" s="112" t="str">
        <f>+IF(L3="","",'AFE DETAILED'!R500)</f>
        <v/>
      </c>
      <c r="M75" s="192">
        <f t="shared" si="10"/>
        <v>0</v>
      </c>
    </row>
    <row r="76" spans="2:13" x14ac:dyDescent="0.2">
      <c r="B76" s="183" t="str">
        <f>+'AFE DETAILED'!B501</f>
        <v>F23</v>
      </c>
      <c r="C76" s="113" t="str">
        <f>+'AFE DETAILED'!E507</f>
        <v>TOTAL Environmental &amp; HSE</v>
      </c>
      <c r="D76" s="114">
        <f>+'AFE DETAILED'!G502</f>
        <v>114022</v>
      </c>
      <c r="E76" s="112">
        <f>+IF(E3="","",'AFE DETAILED'!K507)</f>
        <v>0</v>
      </c>
      <c r="F76" s="112">
        <f>+IF(F3="","",'AFE DETAILED'!L507)</f>
        <v>0</v>
      </c>
      <c r="G76" s="112" t="str">
        <f>+IF(G3="","",'AFE DETAILED'!M507)</f>
        <v/>
      </c>
      <c r="H76" s="112" t="str">
        <f>+IF(H3="","",'AFE DETAILED'!N507)</f>
        <v/>
      </c>
      <c r="I76" s="112" t="str">
        <f>+IF(I3="","",'AFE DETAILED'!O507)</f>
        <v/>
      </c>
      <c r="J76" s="112" t="str">
        <f>+IF(J3="","",'AFE DETAILED'!P507)</f>
        <v/>
      </c>
      <c r="K76" s="112" t="str">
        <f>+IF(K3="","",'AFE DETAILED'!Q507)</f>
        <v/>
      </c>
      <c r="L76" s="112" t="str">
        <f>+IF(L3="","",'AFE DETAILED'!R507)</f>
        <v/>
      </c>
      <c r="M76" s="192">
        <f t="shared" si="10"/>
        <v>0</v>
      </c>
    </row>
    <row r="77" spans="2:13" x14ac:dyDescent="0.2">
      <c r="B77" s="183" t="str">
        <f>+'AFE DETAILED'!B508</f>
        <v>F24</v>
      </c>
      <c r="C77" s="113" t="str">
        <f>+'AFE DETAILED'!E512</f>
        <v>TOTAL Abandonment/Suspension</v>
      </c>
      <c r="D77" s="114">
        <f>+'AFE DETAILED'!G509</f>
        <v>114023</v>
      </c>
      <c r="E77" s="112">
        <f>+IF(E3="","",'AFE DETAILED'!K512)</f>
        <v>0</v>
      </c>
      <c r="F77" s="112">
        <f>+IF(F3="","",'AFE DETAILED'!L512)</f>
        <v>0</v>
      </c>
      <c r="G77" s="112" t="str">
        <f>+IF(G3="","",'AFE DETAILED'!M512)</f>
        <v/>
      </c>
      <c r="H77" s="112" t="str">
        <f>+IF(H3="","",'AFE DETAILED'!N512)</f>
        <v/>
      </c>
      <c r="I77" s="112" t="str">
        <f>+IF(I3="","",'AFE DETAILED'!O512)</f>
        <v/>
      </c>
      <c r="J77" s="112" t="str">
        <f>+IF(J3="","",'AFE DETAILED'!P512)</f>
        <v/>
      </c>
      <c r="K77" s="112" t="str">
        <f>+IF(K3="","",'AFE DETAILED'!Q512)</f>
        <v/>
      </c>
      <c r="L77" s="112" t="str">
        <f>+IF(L3="","",'AFE DETAILED'!R512)</f>
        <v/>
      </c>
      <c r="M77" s="192">
        <f t="shared" si="10"/>
        <v>0</v>
      </c>
    </row>
    <row r="78" spans="2:13" x14ac:dyDescent="0.2">
      <c r="B78" s="183" t="str">
        <f>+'AFE DETAILED'!B513</f>
        <v>F25</v>
      </c>
      <c r="C78" s="113" t="str">
        <f>+'AFE DETAILED'!E520</f>
        <v>TOTAL Direct Supervision</v>
      </c>
      <c r="D78" s="114">
        <f>+'AFE DETAILED'!G514</f>
        <v>114024</v>
      </c>
      <c r="E78" s="112">
        <f>+IF(E3="","",'AFE DETAILED'!K520)</f>
        <v>0</v>
      </c>
      <c r="F78" s="112">
        <f>+IF(F3="","",'AFE DETAILED'!L520)</f>
        <v>0</v>
      </c>
      <c r="G78" s="112" t="str">
        <f>+IF(G3="","",'AFE DETAILED'!M520)</f>
        <v/>
      </c>
      <c r="H78" s="112" t="str">
        <f>+IF(H3="","",'AFE DETAILED'!N520)</f>
        <v/>
      </c>
      <c r="I78" s="112" t="str">
        <f>+IF(I3="","",'AFE DETAILED'!O520)</f>
        <v/>
      </c>
      <c r="J78" s="112" t="str">
        <f>+IF(J3="","",'AFE DETAILED'!P520)</f>
        <v/>
      </c>
      <c r="K78" s="112" t="str">
        <f>+IF(K3="","",'AFE DETAILED'!Q520)</f>
        <v/>
      </c>
      <c r="L78" s="112" t="str">
        <f>+IF(L3="","",'AFE DETAILED'!R520)</f>
        <v/>
      </c>
      <c r="M78" s="192">
        <f t="shared" si="10"/>
        <v>0</v>
      </c>
    </row>
    <row r="79" spans="2:13" x14ac:dyDescent="0.2">
      <c r="B79" s="183" t="str">
        <f>+'AFE DETAILED'!B521</f>
        <v>F26</v>
      </c>
      <c r="C79" s="113" t="str">
        <f>+'AFE DETAILED'!E528</f>
        <v>TOTAL Tech Services</v>
      </c>
      <c r="D79" s="114">
        <f>+'AFE DETAILED'!G522</f>
        <v>114025</v>
      </c>
      <c r="E79" s="112">
        <f>+IF(E3="","",'AFE DETAILED'!K528)</f>
        <v>0</v>
      </c>
      <c r="F79" s="112">
        <f>+IF(F3="","",'AFE DETAILED'!L528)</f>
        <v>0</v>
      </c>
      <c r="G79" s="112" t="str">
        <f>+IF(G3="","",'AFE DETAILED'!M528)</f>
        <v/>
      </c>
      <c r="H79" s="112" t="str">
        <f>+IF(H3="","",'AFE DETAILED'!N528)</f>
        <v/>
      </c>
      <c r="I79" s="112" t="str">
        <f>+IF(I3="","",'AFE DETAILED'!O528)</f>
        <v/>
      </c>
      <c r="J79" s="112" t="str">
        <f>+IF(J3="","",'AFE DETAILED'!P528)</f>
        <v/>
      </c>
      <c r="K79" s="112" t="str">
        <f>+IF(K3="","",'AFE DETAILED'!Q528)</f>
        <v/>
      </c>
      <c r="L79" s="112" t="str">
        <f>+IF(L3="","",'AFE DETAILED'!R528)</f>
        <v/>
      </c>
      <c r="M79" s="192">
        <f t="shared" si="10"/>
        <v>0</v>
      </c>
    </row>
    <row r="80" spans="2:13" x14ac:dyDescent="0.2">
      <c r="B80" s="183" t="str">
        <f>+'AFE DETAILED'!B529</f>
        <v>F27</v>
      </c>
      <c r="C80" s="113" t="str">
        <f>+'AFE DETAILED'!E533</f>
        <v>TOTAL Monthly No Incident Incentive</v>
      </c>
      <c r="D80" s="114">
        <f>+'AFE DETAILED'!G530</f>
        <v>114026</v>
      </c>
      <c r="E80" s="112">
        <f>+IF(E3="","",'AFE DETAILED'!K533)</f>
        <v>0</v>
      </c>
      <c r="F80" s="112">
        <f>+IF(F3="","",'AFE DETAILED'!L533)</f>
        <v>0</v>
      </c>
      <c r="G80" s="112" t="str">
        <f>+IF(G3="","",'AFE DETAILED'!M533)</f>
        <v/>
      </c>
      <c r="H80" s="112" t="str">
        <f>+IF(H3="","",'AFE DETAILED'!N533)</f>
        <v/>
      </c>
      <c r="I80" s="112" t="str">
        <f>+IF(I3="","",'AFE DETAILED'!O533)</f>
        <v/>
      </c>
      <c r="J80" s="112" t="str">
        <f>+IF(J3="","",'AFE DETAILED'!P533)</f>
        <v/>
      </c>
      <c r="K80" s="112" t="str">
        <f>+IF(K3="","",'AFE DETAILED'!Q533)</f>
        <v/>
      </c>
      <c r="L80" s="112" t="str">
        <f>+IF(L3="","",'AFE DETAILED'!R533)</f>
        <v/>
      </c>
      <c r="M80" s="192">
        <f t="shared" si="10"/>
        <v>0</v>
      </c>
    </row>
    <row r="81" spans="2:13" x14ac:dyDescent="0.2">
      <c r="B81" s="183" t="str">
        <f>+'AFE DETAILED'!B534</f>
        <v>F28</v>
      </c>
      <c r="C81" s="113" t="str">
        <f>+'AFE DETAILED'!E538</f>
        <v>TOTAL Well Productivity Bonus</v>
      </c>
      <c r="D81" s="114">
        <f>+'AFE DETAILED'!G535</f>
        <v>114026</v>
      </c>
      <c r="E81" s="112">
        <f>+IF(E3="","",'AFE DETAILED'!K538)</f>
        <v>0</v>
      </c>
      <c r="F81" s="112">
        <f>+IF(F3="","",'AFE DETAILED'!L538)</f>
        <v>0</v>
      </c>
      <c r="G81" s="112" t="str">
        <f>+IF(G3="","",'AFE DETAILED'!M538)</f>
        <v/>
      </c>
      <c r="H81" s="112" t="str">
        <f>+IF(H3="","",'AFE DETAILED'!N538)</f>
        <v/>
      </c>
      <c r="I81" s="112" t="str">
        <f>+IF(I3="","",'AFE DETAILED'!O538)</f>
        <v/>
      </c>
      <c r="J81" s="112" t="str">
        <f>+IF(J3="","",'AFE DETAILED'!P538)</f>
        <v/>
      </c>
      <c r="K81" s="112" t="str">
        <f>+IF(K3="","",'AFE DETAILED'!Q538)</f>
        <v/>
      </c>
      <c r="L81" s="112" t="str">
        <f>+IF(L3="","",'AFE DETAILED'!R538)</f>
        <v/>
      </c>
      <c r="M81" s="192">
        <f t="shared" si="10"/>
        <v>0</v>
      </c>
    </row>
    <row r="82" spans="2:13" ht="13.5" thickBot="1" x14ac:dyDescent="0.25">
      <c r="B82" s="211" t="str">
        <f>+'AFE DETAILED'!B539</f>
        <v>F</v>
      </c>
      <c r="C82" s="212" t="str">
        <f>+'AFE DETAILED'!E539</f>
        <v xml:space="preserve">TOTAL WELL SERVICE </v>
      </c>
      <c r="D82" s="213"/>
      <c r="E82" s="214">
        <f>SUM(E54:E81)</f>
        <v>0</v>
      </c>
      <c r="F82" s="214">
        <f t="shared" ref="F82:L82" si="11">SUM(F54:F81)</f>
        <v>0</v>
      </c>
      <c r="G82" s="214">
        <f t="shared" si="11"/>
        <v>0</v>
      </c>
      <c r="H82" s="214">
        <f t="shared" si="11"/>
        <v>0</v>
      </c>
      <c r="I82" s="214">
        <f t="shared" si="11"/>
        <v>0</v>
      </c>
      <c r="J82" s="214">
        <f t="shared" si="11"/>
        <v>0</v>
      </c>
      <c r="K82" s="214">
        <f t="shared" si="11"/>
        <v>0</v>
      </c>
      <c r="L82" s="214">
        <f t="shared" si="11"/>
        <v>0</v>
      </c>
      <c r="M82" s="215">
        <f t="shared" si="10"/>
        <v>0</v>
      </c>
    </row>
    <row r="83" spans="2:13" ht="3.75" customHeight="1" thickBot="1" x14ac:dyDescent="0.25">
      <c r="B83" s="187"/>
      <c r="C83" s="188"/>
      <c r="D83" s="193"/>
      <c r="E83" s="111"/>
      <c r="F83" s="111"/>
      <c r="G83" s="111"/>
      <c r="H83" s="111"/>
      <c r="I83" s="111"/>
      <c r="J83" s="111"/>
      <c r="K83" s="111"/>
      <c r="L83" s="111"/>
      <c r="M83" s="194"/>
    </row>
    <row r="84" spans="2:13" x14ac:dyDescent="0.2">
      <c r="B84" s="210" t="str">
        <f>+'AFE DETAILED'!B541</f>
        <v>G</v>
      </c>
      <c r="C84" s="375" t="str">
        <f>+'AFE DETAILED'!E541</f>
        <v>SUPPORT SERVICES</v>
      </c>
      <c r="D84" s="375"/>
      <c r="E84" s="375"/>
      <c r="F84" s="375"/>
      <c r="G84" s="375"/>
      <c r="H84" s="375"/>
      <c r="I84" s="375"/>
      <c r="J84" s="375"/>
      <c r="K84" s="375"/>
      <c r="L84" s="375"/>
      <c r="M84" s="376"/>
    </row>
    <row r="85" spans="2:13" x14ac:dyDescent="0.2">
      <c r="B85" s="183" t="str">
        <f>+'AFE DETAILED'!B542</f>
        <v>G1</v>
      </c>
      <c r="C85" s="113" t="str">
        <f>+'AFE DETAILED'!E547</f>
        <v>TOTAL Helicopters and special flights</v>
      </c>
      <c r="D85" s="114">
        <f>+'AFE DETAILED'!G543</f>
        <v>115001</v>
      </c>
      <c r="E85" s="112">
        <f>+IF(E3="","",'AFE DETAILED'!K547)</f>
        <v>0</v>
      </c>
      <c r="F85" s="112">
        <f>+IF(F3="","",'AFE DETAILED'!L547)</f>
        <v>0</v>
      </c>
      <c r="G85" s="112" t="str">
        <f>+IF(G3="","",'AFE DETAILED'!M547)</f>
        <v/>
      </c>
      <c r="H85" s="112" t="str">
        <f>+IF(H3="","",'AFE DETAILED'!N547)</f>
        <v/>
      </c>
      <c r="I85" s="112" t="str">
        <f>+IF(I3="","",'AFE DETAILED'!O547)</f>
        <v/>
      </c>
      <c r="J85" s="112" t="str">
        <f>+IF(J3="","",'AFE DETAILED'!P547)</f>
        <v/>
      </c>
      <c r="K85" s="112" t="str">
        <f>+IF(K3="","",'AFE DETAILED'!Q547)</f>
        <v/>
      </c>
      <c r="L85" s="112" t="str">
        <f>+IF(L3="","",'AFE DETAILED'!R547)</f>
        <v/>
      </c>
      <c r="M85" s="192">
        <f>SUM(E85:L85)</f>
        <v>0</v>
      </c>
    </row>
    <row r="86" spans="2:13" x14ac:dyDescent="0.2">
      <c r="B86" s="183" t="str">
        <f>+'AFE DETAILED'!B548</f>
        <v>G2</v>
      </c>
      <c r="C86" s="113" t="str">
        <f>+'AFE DETAILED'!E551</f>
        <v>TOTAL Wings [Aircrafts]</v>
      </c>
      <c r="D86" s="114">
        <f>+'AFE DETAILED'!G549</f>
        <v>115002</v>
      </c>
      <c r="E86" s="112">
        <f>+IF(E3="","",'AFE DETAILED'!K551)</f>
        <v>0</v>
      </c>
      <c r="F86" s="112">
        <f>+IF(F3="","",'AFE DETAILED'!L551)</f>
        <v>0</v>
      </c>
      <c r="G86" s="112" t="str">
        <f>+IF(G3="","",'AFE DETAILED'!M551)</f>
        <v/>
      </c>
      <c r="H86" s="112" t="str">
        <f>+IF(H3="","",'AFE DETAILED'!N551)</f>
        <v/>
      </c>
      <c r="I86" s="112" t="str">
        <f>+IF(I3="","",'AFE DETAILED'!O551)</f>
        <v/>
      </c>
      <c r="J86" s="112" t="str">
        <f>+IF(J3="","",'AFE DETAILED'!P551)</f>
        <v/>
      </c>
      <c r="K86" s="112" t="str">
        <f>+IF(K3="","",'AFE DETAILED'!Q551)</f>
        <v/>
      </c>
      <c r="L86" s="112" t="str">
        <f>+IF(L3="","",'AFE DETAILED'!R551)</f>
        <v/>
      </c>
      <c r="M86" s="192">
        <f t="shared" ref="M86:M92" si="12">SUM(E86:L86)</f>
        <v>0</v>
      </c>
    </row>
    <row r="87" spans="2:13" x14ac:dyDescent="0.2">
      <c r="B87" s="183" t="str">
        <f>+'AFE DETAILED'!B552</f>
        <v>G3</v>
      </c>
      <c r="C87" s="113" t="str">
        <f>+'AFE DETAILED'!E562</f>
        <v>TOTAL Road Transport</v>
      </c>
      <c r="D87" s="114">
        <f>+'AFE DETAILED'!G553</f>
        <v>115003</v>
      </c>
      <c r="E87" s="112">
        <f>+IF(E3="","",'AFE DETAILED'!K562)</f>
        <v>0</v>
      </c>
      <c r="F87" s="112">
        <f>+IF(F3="","",'AFE DETAILED'!L562)</f>
        <v>0</v>
      </c>
      <c r="G87" s="112" t="str">
        <f>+IF(G3="","",'AFE DETAILED'!M562)</f>
        <v/>
      </c>
      <c r="H87" s="112" t="str">
        <f>+IF(H3="","",'AFE DETAILED'!N562)</f>
        <v/>
      </c>
      <c r="I87" s="112" t="str">
        <f>+IF(I3="","",'AFE DETAILED'!O562)</f>
        <v/>
      </c>
      <c r="J87" s="112" t="str">
        <f>+IF(J3="","",'AFE DETAILED'!P562)</f>
        <v/>
      </c>
      <c r="K87" s="112" t="str">
        <f>+IF(K3="","",'AFE DETAILED'!Q562)</f>
        <v/>
      </c>
      <c r="L87" s="112" t="str">
        <f>+IF(L3="","",'AFE DETAILED'!R562)</f>
        <v/>
      </c>
      <c r="M87" s="192">
        <f t="shared" si="12"/>
        <v>0</v>
      </c>
    </row>
    <row r="88" spans="2:13" x14ac:dyDescent="0.2">
      <c r="B88" s="183" t="str">
        <f>+'AFE DETAILED'!B563</f>
        <v>G4</v>
      </c>
      <c r="C88" s="113" t="str">
        <f>+'AFE DETAILED'!E571</f>
        <v>TOTAL Field Allocation</v>
      </c>
      <c r="D88" s="114">
        <f>+'AFE DETAILED'!G564</f>
        <v>115004</v>
      </c>
      <c r="E88" s="112">
        <f>+IF(E3="","",'AFE DETAILED'!K571)</f>
        <v>0</v>
      </c>
      <c r="F88" s="112">
        <f>+IF(F3="","",'AFE DETAILED'!L571)</f>
        <v>0</v>
      </c>
      <c r="G88" s="112" t="str">
        <f>+IF(G3="","",'AFE DETAILED'!M571)</f>
        <v/>
      </c>
      <c r="H88" s="112" t="str">
        <f>+IF(H3="","",'AFE DETAILED'!N571)</f>
        <v/>
      </c>
      <c r="I88" s="112" t="str">
        <f>+IF(I3="","",'AFE DETAILED'!O571)</f>
        <v/>
      </c>
      <c r="J88" s="112" t="str">
        <f>+IF(J3="","",'AFE DETAILED'!P571)</f>
        <v/>
      </c>
      <c r="K88" s="112" t="str">
        <f>+IF(K3="","",'AFE DETAILED'!Q571)</f>
        <v/>
      </c>
      <c r="L88" s="112" t="str">
        <f>+IF(L3="","",'AFE DETAILED'!R571)</f>
        <v/>
      </c>
      <c r="M88" s="192">
        <f t="shared" si="12"/>
        <v>0</v>
      </c>
    </row>
    <row r="89" spans="2:13" x14ac:dyDescent="0.2">
      <c r="B89" s="183" t="str">
        <f>+'AFE DETAILED'!B572</f>
        <v>G5</v>
      </c>
      <c r="C89" s="113" t="str">
        <f>+'AFE DETAILED'!E582</f>
        <v>TOTAL Security</v>
      </c>
      <c r="D89" s="114">
        <f>+'AFE DETAILED'!G573</f>
        <v>115005</v>
      </c>
      <c r="E89" s="112">
        <f>+IF(E3="","",'AFE DETAILED'!K582)</f>
        <v>0</v>
      </c>
      <c r="F89" s="112">
        <f>+IF(F3="","",'AFE DETAILED'!L582)</f>
        <v>0</v>
      </c>
      <c r="G89" s="112" t="str">
        <f>+IF(G3="","",'AFE DETAILED'!M582)</f>
        <v/>
      </c>
      <c r="H89" s="112" t="str">
        <f>+IF(H3="","",'AFE DETAILED'!N582)</f>
        <v/>
      </c>
      <c r="I89" s="112" t="str">
        <f>+IF(I3="","",'AFE DETAILED'!O582)</f>
        <v/>
      </c>
      <c r="J89" s="112" t="str">
        <f>+IF(J3="","",'AFE DETAILED'!P582)</f>
        <v/>
      </c>
      <c r="K89" s="112" t="str">
        <f>+IF(K3="","",'AFE DETAILED'!Q582)</f>
        <v/>
      </c>
      <c r="L89" s="112" t="str">
        <f>+IF(L3="","",'AFE DETAILED'!R582)</f>
        <v/>
      </c>
      <c r="M89" s="192">
        <f t="shared" si="12"/>
        <v>0</v>
      </c>
    </row>
    <row r="90" spans="2:13" x14ac:dyDescent="0.2">
      <c r="B90" s="183" t="str">
        <f>+'AFE DETAILED'!B583</f>
        <v>G6</v>
      </c>
      <c r="C90" s="113" t="str">
        <f>+'AFE DETAILED'!E587</f>
        <v>TOTAL Community Relations</v>
      </c>
      <c r="D90" s="114">
        <f>+'AFE DETAILED'!G584</f>
        <v>115006</v>
      </c>
      <c r="E90" s="112">
        <f>+IF(E3="","",'AFE DETAILED'!K587)</f>
        <v>0</v>
      </c>
      <c r="F90" s="112">
        <f>+IF(F3="","",'AFE DETAILED'!L587)</f>
        <v>0</v>
      </c>
      <c r="G90" s="112" t="str">
        <f>+IF(G3="","",'AFE DETAILED'!M587)</f>
        <v/>
      </c>
      <c r="H90" s="112" t="str">
        <f>+IF(H3="","",'AFE DETAILED'!N587)</f>
        <v/>
      </c>
      <c r="I90" s="112" t="str">
        <f>+IF(I3="","",'AFE DETAILED'!O587)</f>
        <v/>
      </c>
      <c r="J90" s="112" t="str">
        <f>+IF(J3="","",'AFE DETAILED'!P587)</f>
        <v/>
      </c>
      <c r="K90" s="112" t="str">
        <f>+IF(K3="","",'AFE DETAILED'!Q587)</f>
        <v/>
      </c>
      <c r="L90" s="112" t="str">
        <f>+IF(L3="","",'AFE DETAILED'!R587)</f>
        <v/>
      </c>
      <c r="M90" s="192">
        <f t="shared" si="12"/>
        <v>0</v>
      </c>
    </row>
    <row r="91" spans="2:13" x14ac:dyDescent="0.2">
      <c r="B91" s="183" t="str">
        <f>+'AFE DETAILED'!B588</f>
        <v>G7</v>
      </c>
      <c r="C91" s="113" t="str">
        <f>+'AFE DETAILED'!E592</f>
        <v>TOTAL Operations insurance</v>
      </c>
      <c r="D91" s="114">
        <f>+'AFE DETAILED'!G589</f>
        <v>116001</v>
      </c>
      <c r="E91" s="112">
        <f>+IF(E3="","",'AFE DETAILED'!K592)</f>
        <v>0</v>
      </c>
      <c r="F91" s="112">
        <f>+IF(F3="","",'AFE DETAILED'!L592)</f>
        <v>0</v>
      </c>
      <c r="G91" s="112" t="str">
        <f>+IF(G3="","",'AFE DETAILED'!M592)</f>
        <v/>
      </c>
      <c r="H91" s="112" t="str">
        <f>+IF(H3="","",'AFE DETAILED'!N592)</f>
        <v/>
      </c>
      <c r="I91" s="112" t="str">
        <f>+IF(I3="","",'AFE DETAILED'!O592)</f>
        <v/>
      </c>
      <c r="J91" s="112" t="str">
        <f>+IF(J3="","",'AFE DETAILED'!P592)</f>
        <v/>
      </c>
      <c r="K91" s="112" t="str">
        <f>+IF(K3="","",'AFE DETAILED'!Q592)</f>
        <v/>
      </c>
      <c r="L91" s="112" t="str">
        <f>+IF(L3="","",'AFE DETAILED'!R592)</f>
        <v/>
      </c>
      <c r="M91" s="192">
        <f t="shared" si="12"/>
        <v>0</v>
      </c>
    </row>
    <row r="92" spans="2:13" ht="13.5" thickBot="1" x14ac:dyDescent="0.25">
      <c r="B92" s="211" t="str">
        <f>+'AFE DETAILED'!B593</f>
        <v>G</v>
      </c>
      <c r="C92" s="212" t="str">
        <f>+'AFE DETAILED'!E593</f>
        <v>TOTAL SUPPORT SERVICES</v>
      </c>
      <c r="D92" s="213"/>
      <c r="E92" s="214">
        <f>SUM(E85:E91)</f>
        <v>0</v>
      </c>
      <c r="F92" s="214">
        <f t="shared" ref="F92:L92" si="13">SUM(F85:F91)</f>
        <v>0</v>
      </c>
      <c r="G92" s="214">
        <f t="shared" si="13"/>
        <v>0</v>
      </c>
      <c r="H92" s="214">
        <f t="shared" si="13"/>
        <v>0</v>
      </c>
      <c r="I92" s="214">
        <f t="shared" si="13"/>
        <v>0</v>
      </c>
      <c r="J92" s="214">
        <f t="shared" si="13"/>
        <v>0</v>
      </c>
      <c r="K92" s="214">
        <f t="shared" si="13"/>
        <v>0</v>
      </c>
      <c r="L92" s="214">
        <f t="shared" si="13"/>
        <v>0</v>
      </c>
      <c r="M92" s="215">
        <f t="shared" si="12"/>
        <v>0</v>
      </c>
    </row>
    <row r="93" spans="2:13" ht="3.75" customHeight="1" thickBot="1" x14ac:dyDescent="0.25">
      <c r="B93" s="187"/>
      <c r="C93" s="188"/>
      <c r="D93" s="193"/>
      <c r="E93" s="111"/>
      <c r="F93" s="111"/>
      <c r="G93" s="111"/>
      <c r="H93" s="111"/>
      <c r="I93" s="111"/>
      <c r="J93" s="111"/>
      <c r="K93" s="111"/>
      <c r="L93" s="111"/>
      <c r="M93" s="194"/>
    </row>
    <row r="94" spans="2:13" x14ac:dyDescent="0.2">
      <c r="B94" s="373" t="s">
        <v>517</v>
      </c>
      <c r="C94" s="374"/>
      <c r="D94" s="374"/>
      <c r="E94" s="216">
        <f>+IF(E3="","",E92+E82+E51+E35+E27+E21+E16)</f>
        <v>0</v>
      </c>
      <c r="F94" s="216">
        <f t="shared" ref="F94:M94" si="14">+IF(F3="","",F92+F82+F51+F35+F27+F21+F16)</f>
        <v>0</v>
      </c>
      <c r="G94" s="216">
        <f>+IF(G3="",0,G92+G82+G51+G35+G27+G21+G16)</f>
        <v>0</v>
      </c>
      <c r="H94" s="216">
        <f t="shared" ref="H94:K94" si="15">+IF(H3="",0,H92+H82+H51+H35+H27+H21+H16)</f>
        <v>0</v>
      </c>
      <c r="I94" s="216">
        <f t="shared" si="15"/>
        <v>0</v>
      </c>
      <c r="J94" s="216">
        <f t="shared" si="15"/>
        <v>0</v>
      </c>
      <c r="K94" s="216">
        <f t="shared" si="15"/>
        <v>0</v>
      </c>
      <c r="L94" s="216">
        <f>+IF(L3="",0,L92+L82+L51+L35+L27+L21+L16)</f>
        <v>0</v>
      </c>
      <c r="M94" s="217">
        <f t="shared" si="14"/>
        <v>0</v>
      </c>
    </row>
    <row r="95" spans="2:13" x14ac:dyDescent="0.2">
      <c r="B95" s="381" t="s">
        <v>596</v>
      </c>
      <c r="C95" s="382"/>
      <c r="D95" s="382"/>
      <c r="E95" s="380" t="str">
        <f>"The percentage of extra days for drilling NPT is " &amp; TEXT(NPT!D7+NPT!D8+NPT!D9,"0,00%") &amp; ". This NPT affects in a " &amp; TEXT(NPT!D13+NPT!D14+NPT!D15,"0,00%") &amp; " the cost of the project in the variable cost. The associated cost is:"</f>
        <v>The percentage of extra days for drilling NPT is 0,00%. This NPT affects in a 0,00% the cost of the project in the variable cost. The associated cost is:</v>
      </c>
      <c r="F95" s="380"/>
      <c r="G95" s="380"/>
      <c r="H95" s="380"/>
      <c r="I95" s="380"/>
      <c r="J95" s="380"/>
      <c r="K95" s="380"/>
      <c r="L95" s="380"/>
      <c r="M95" s="196">
        <f>+(SUM(G24:K26,G54:K60,G62:K76,G85:K90,G78:K79))*(NPT!D13+NPT!D14+NPT!D15)</f>
        <v>0</v>
      </c>
    </row>
    <row r="96" spans="2:13" x14ac:dyDescent="0.2">
      <c r="B96" s="381" t="s">
        <v>597</v>
      </c>
      <c r="C96" s="382"/>
      <c r="D96" s="382"/>
      <c r="E96" s="380" t="str">
        <f>"The percentage of extra days for stuck events in drilling is " &amp; TEXT(NPT!D10,"0,00%") &amp; ". This event affects in a " &amp; TEXT(NPT!D16,"0,00%") &amp; " the cost of the project in the variable cost and fishing tools required. The associated cost is:"</f>
        <v>The percentage of extra days for stuck events in drilling is 0,00%. This event affects in a 0,00% the cost of the project in the variable cost and fishing tools required. The associated cost is:</v>
      </c>
      <c r="F96" s="380"/>
      <c r="G96" s="380"/>
      <c r="H96" s="380"/>
      <c r="I96" s="380"/>
      <c r="J96" s="380"/>
      <c r="K96" s="380"/>
      <c r="L96" s="380"/>
      <c r="M96" s="196">
        <f>IF(AND(G94=0,H94=0,I94=0,J94=0,K94=0),0,IF(NPT!D16=0,0,((SUM(G24:K26,G54:K60,G62:K76,G85:K90,G78:K79))*(NPT!D16))+((ROUNDUP((MAX(E9:K9)*(NPT!D10)),0)*('AFE DETAILED'!E345+'AFE DETAILED'!E347+'AFE DETAILED'!E344))+'AFE DETAILED'!E346+('AFE DETAILED'!E349*'AFE DETAILED'!Q11))))</f>
        <v>0</v>
      </c>
    </row>
    <row r="97" spans="2:13" x14ac:dyDescent="0.2">
      <c r="B97" s="381" t="s">
        <v>598</v>
      </c>
      <c r="C97" s="382"/>
      <c r="D97" s="382"/>
      <c r="E97" s="380" t="str">
        <f>"The percentage of extra days for completion NPT is " &amp; TEXT(NPT!D20+NPT!D21+NPT!D22,"0,00%") &amp; ". This NPT affects in a " &amp; TEXT(NPT!D26+NPT!D27+NPT!D28,"0,00%") &amp; " the cost of the project in the variable cost. The associated cost is:"</f>
        <v>The percentage of extra days for completion NPT is 0,00%. This NPT affects in a 0,00% the cost of the project in the variable cost. The associated cost is:</v>
      </c>
      <c r="F97" s="380"/>
      <c r="G97" s="380"/>
      <c r="H97" s="380"/>
      <c r="I97" s="380"/>
      <c r="J97" s="380"/>
      <c r="K97" s="380"/>
      <c r="L97" s="380"/>
      <c r="M97" s="196">
        <f>+(SUM(L24:L26,L54:L60,L62:L76,L85:L90,L78:L79))*(NPT!D13+NPT!D14+NPT!D15)</f>
        <v>0</v>
      </c>
    </row>
    <row r="98" spans="2:13" x14ac:dyDescent="0.2">
      <c r="B98" s="381" t="s">
        <v>599</v>
      </c>
      <c r="C98" s="382"/>
      <c r="D98" s="382"/>
      <c r="E98" s="380" t="str">
        <f>"The percentage of extra days for stuck events in completion is " &amp; TEXT(NPT!D23,"0,00%") &amp; ". This event affects in a " &amp; TEXT(NPT!D29,"0,00%") &amp; " the cost of the project in the variable cost and fishing tools required. The associated cost is:"</f>
        <v>The percentage of extra days for stuck events in completion is 0,00%. This event affects in a 0,00% the cost of the project in the variable cost and fishing tools required. The associated cost is:</v>
      </c>
      <c r="F98" s="380"/>
      <c r="G98" s="380"/>
      <c r="H98" s="380"/>
      <c r="I98" s="380"/>
      <c r="J98" s="380"/>
      <c r="K98" s="380"/>
      <c r="L98" s="380"/>
      <c r="M98" s="196">
        <f>IF(NPT!D29=0,0,((SUM(L24:L26,L54:L60,L62:L76,L85:L90,L78:L79))*(NPT!D29))+((ROUNDUP((L8*(NPT!D23)),0)*('AFE DETAILED'!E345+'AFE DETAILED'!E347+'AFE DETAILED'!E344))+'AFE DETAILED'!E346+('AFE DETAILED'!E349*'AFE DETAILED'!Q11)))</f>
        <v>0</v>
      </c>
    </row>
    <row r="99" spans="2:13" ht="13.5" thickBot="1" x14ac:dyDescent="0.25">
      <c r="B99" s="377" t="s">
        <v>573</v>
      </c>
      <c r="C99" s="378"/>
      <c r="D99" s="378"/>
      <c r="E99" s="379"/>
      <c r="F99" s="379"/>
      <c r="G99" s="379"/>
      <c r="H99" s="379"/>
      <c r="I99" s="379"/>
      <c r="J99" s="379"/>
      <c r="K99" s="379"/>
      <c r="L99" s="379"/>
      <c r="M99" s="197">
        <f>SUM(M94:M98)</f>
        <v>0</v>
      </c>
    </row>
    <row r="100" spans="2:13" x14ac:dyDescent="0.2">
      <c r="B100" s="381" t="s">
        <v>596</v>
      </c>
      <c r="C100" s="382"/>
      <c r="D100" s="382"/>
      <c r="E100" s="380" t="str">
        <f>"The percentage of extra days for drilling NPT is " &amp; TEXT(NPT!D6,"0,00%") &amp; ". The associated extra days are: "</f>
        <v xml:space="preserve">The percentage of extra days for drilling NPT is 0,00%. The associated extra days are: </v>
      </c>
      <c r="F100" s="380"/>
      <c r="G100" s="380"/>
      <c r="H100" s="380"/>
      <c r="I100" s="380"/>
      <c r="J100" s="380"/>
      <c r="K100" s="380"/>
      <c r="L100" s="380"/>
      <c r="M100" s="311">
        <f>+NPT!C6-NPT!C5</f>
        <v>0</v>
      </c>
    </row>
    <row r="101" spans="2:13" x14ac:dyDescent="0.2">
      <c r="B101" s="381" t="s">
        <v>598</v>
      </c>
      <c r="C101" s="382"/>
      <c r="D101" s="382"/>
      <c r="E101" s="380" t="str">
        <f>"The percentage of extra days for drilling NPT is " &amp; TEXT(NPT!D19,"0,00%") &amp; ". The associated extra days are: "</f>
        <v xml:space="preserve">The percentage of extra days for drilling NPT is 0,00%. The associated extra days are: </v>
      </c>
      <c r="F101" s="380"/>
      <c r="G101" s="380"/>
      <c r="H101" s="380"/>
      <c r="I101" s="380"/>
      <c r="J101" s="380"/>
      <c r="K101" s="380"/>
      <c r="L101" s="380"/>
      <c r="M101" s="311">
        <f>+NPT!C19-NPT!C18</f>
        <v>0</v>
      </c>
    </row>
    <row r="102" spans="2:13" ht="13.5" thickBot="1" x14ac:dyDescent="0.25">
      <c r="B102" s="377" t="s">
        <v>684</v>
      </c>
      <c r="C102" s="378"/>
      <c r="D102" s="378"/>
      <c r="E102" s="379"/>
      <c r="F102" s="379"/>
      <c r="G102" s="379"/>
      <c r="H102" s="379"/>
      <c r="I102" s="379"/>
      <c r="J102" s="379"/>
      <c r="K102" s="379"/>
      <c r="L102" s="379"/>
      <c r="M102" s="312">
        <f>+M100+M101+M9</f>
        <v>0</v>
      </c>
    </row>
    <row r="103" spans="2:13" ht="9" customHeight="1" x14ac:dyDescent="0.2">
      <c r="E103" s="111"/>
      <c r="F103" s="111"/>
      <c r="G103" s="111"/>
      <c r="H103" s="111"/>
      <c r="I103" s="111"/>
      <c r="J103" s="111"/>
      <c r="K103" s="111"/>
      <c r="L103" s="111"/>
      <c r="M103" s="111"/>
    </row>
    <row r="104" spans="2:13" hidden="1" x14ac:dyDescent="0.2">
      <c r="E104" s="111"/>
      <c r="F104" s="111"/>
      <c r="G104" s="111"/>
      <c r="H104" s="111"/>
      <c r="I104" s="111"/>
      <c r="J104" s="111"/>
      <c r="K104" s="111"/>
      <c r="L104" s="111"/>
      <c r="M104" s="111"/>
    </row>
    <row r="105" spans="2:13" hidden="1" x14ac:dyDescent="0.2">
      <c r="E105" s="111"/>
      <c r="F105" s="111"/>
      <c r="G105" s="111"/>
      <c r="H105" s="111"/>
      <c r="I105" s="111"/>
      <c r="J105" s="111"/>
      <c r="K105" s="111"/>
      <c r="L105" s="111"/>
      <c r="M105" s="111"/>
    </row>
    <row r="106" spans="2:13" hidden="1" x14ac:dyDescent="0.2">
      <c r="E106" s="111"/>
      <c r="F106" s="111"/>
      <c r="G106" s="111"/>
      <c r="H106" s="111"/>
      <c r="I106" s="111"/>
      <c r="J106" s="111"/>
      <c r="K106" s="111"/>
      <c r="L106" s="111"/>
      <c r="M106" s="111"/>
    </row>
    <row r="107" spans="2:13" hidden="1" x14ac:dyDescent="0.2">
      <c r="E107" s="111"/>
      <c r="F107" s="111"/>
      <c r="G107" s="111"/>
      <c r="H107" s="111"/>
      <c r="I107" s="111"/>
      <c r="J107" s="111"/>
      <c r="K107" s="111"/>
      <c r="L107" s="111"/>
      <c r="M107" s="111"/>
    </row>
    <row r="108" spans="2:13" hidden="1" x14ac:dyDescent="0.2">
      <c r="E108" s="111"/>
      <c r="F108" s="111"/>
      <c r="G108" s="111"/>
      <c r="H108" s="111"/>
      <c r="I108" s="111"/>
      <c r="J108" s="111"/>
      <c r="K108" s="111"/>
      <c r="L108" s="111"/>
      <c r="M108" s="111"/>
    </row>
    <row r="109" spans="2:13" hidden="1" x14ac:dyDescent="0.2">
      <c r="E109" s="111"/>
      <c r="F109" s="111"/>
      <c r="G109" s="111"/>
      <c r="H109" s="111"/>
      <c r="I109" s="111"/>
      <c r="J109" s="111"/>
      <c r="K109" s="111"/>
      <c r="L109" s="111"/>
      <c r="M109" s="111"/>
    </row>
    <row r="110" spans="2:13" hidden="1" x14ac:dyDescent="0.2">
      <c r="E110" s="111"/>
      <c r="F110" s="111"/>
      <c r="G110" s="111"/>
      <c r="H110" s="111"/>
      <c r="I110" s="111"/>
      <c r="J110" s="111"/>
      <c r="K110" s="111"/>
      <c r="L110" s="111"/>
      <c r="M110" s="111"/>
    </row>
    <row r="111" spans="2:13" hidden="1" x14ac:dyDescent="0.2">
      <c r="E111" s="111"/>
      <c r="F111" s="111"/>
      <c r="G111" s="111"/>
      <c r="H111" s="111"/>
      <c r="I111" s="111"/>
      <c r="J111" s="111"/>
      <c r="K111" s="111"/>
      <c r="L111" s="111"/>
      <c r="M111" s="111"/>
    </row>
    <row r="112" spans="2:13" hidden="1" x14ac:dyDescent="0.2">
      <c r="E112" s="111"/>
      <c r="F112" s="111"/>
      <c r="G112" s="111"/>
      <c r="H112" s="111"/>
      <c r="I112" s="111"/>
      <c r="J112" s="111"/>
      <c r="K112" s="111"/>
      <c r="L112" s="111"/>
      <c r="M112" s="111"/>
    </row>
    <row r="113" spans="5:13" hidden="1" x14ac:dyDescent="0.2">
      <c r="E113" s="111"/>
      <c r="F113" s="111"/>
      <c r="G113" s="111"/>
      <c r="H113" s="111"/>
      <c r="I113" s="111"/>
      <c r="J113" s="111"/>
      <c r="K113" s="111"/>
      <c r="L113" s="111"/>
      <c r="M113" s="111"/>
    </row>
    <row r="114" spans="5:13" hidden="1" x14ac:dyDescent="0.2">
      <c r="E114" s="111"/>
      <c r="F114" s="111"/>
      <c r="G114" s="111"/>
      <c r="H114" s="111"/>
      <c r="I114" s="111"/>
      <c r="J114" s="111"/>
      <c r="K114" s="111"/>
      <c r="L114" s="111"/>
      <c r="M114" s="111"/>
    </row>
    <row r="115" spans="5:13" hidden="1" x14ac:dyDescent="0.2">
      <c r="E115" s="111"/>
      <c r="F115" s="111"/>
      <c r="G115" s="111"/>
      <c r="H115" s="111"/>
      <c r="I115" s="111"/>
      <c r="J115" s="111"/>
      <c r="K115" s="111"/>
      <c r="L115" s="111"/>
      <c r="M115" s="111"/>
    </row>
    <row r="116" spans="5:13" hidden="1" x14ac:dyDescent="0.2">
      <c r="E116" s="111"/>
      <c r="F116" s="111"/>
      <c r="G116" s="111"/>
      <c r="H116" s="111"/>
      <c r="I116" s="111"/>
      <c r="J116" s="111"/>
      <c r="K116" s="111"/>
      <c r="L116" s="111"/>
      <c r="M116" s="111"/>
    </row>
    <row r="117" spans="5:13" hidden="1" x14ac:dyDescent="0.2">
      <c r="E117" s="111"/>
      <c r="F117" s="111"/>
      <c r="G117" s="111"/>
      <c r="H117" s="111"/>
      <c r="I117" s="111"/>
      <c r="J117" s="111"/>
      <c r="K117" s="111"/>
      <c r="L117" s="111"/>
      <c r="M117" s="111"/>
    </row>
    <row r="118" spans="5:13" hidden="1" x14ac:dyDescent="0.2">
      <c r="E118" s="111"/>
      <c r="F118" s="111"/>
      <c r="G118" s="111"/>
      <c r="H118" s="111"/>
      <c r="I118" s="111"/>
      <c r="J118" s="111"/>
      <c r="K118" s="111"/>
      <c r="L118" s="111"/>
      <c r="M118" s="111"/>
    </row>
    <row r="119" spans="5:13" hidden="1" x14ac:dyDescent="0.2">
      <c r="E119" s="111"/>
      <c r="F119" s="111"/>
      <c r="G119" s="111"/>
      <c r="H119" s="111"/>
      <c r="I119" s="111"/>
      <c r="J119" s="111"/>
      <c r="K119" s="111"/>
      <c r="L119" s="111"/>
      <c r="M119" s="111"/>
    </row>
    <row r="120" spans="5:13" hidden="1" x14ac:dyDescent="0.2">
      <c r="E120" s="111"/>
      <c r="F120" s="111"/>
      <c r="G120" s="111"/>
      <c r="H120" s="111"/>
      <c r="I120" s="111"/>
      <c r="J120" s="111"/>
      <c r="K120" s="111"/>
      <c r="L120" s="111"/>
      <c r="M120" s="111"/>
    </row>
    <row r="121" spans="5:13" hidden="1" x14ac:dyDescent="0.2">
      <c r="E121" s="111"/>
      <c r="F121" s="111"/>
      <c r="G121" s="111"/>
      <c r="H121" s="111"/>
      <c r="I121" s="111"/>
      <c r="J121" s="111"/>
      <c r="K121" s="111"/>
      <c r="L121" s="111"/>
      <c r="M121" s="111"/>
    </row>
    <row r="122" spans="5:13" hidden="1" x14ac:dyDescent="0.2">
      <c r="E122" s="111"/>
      <c r="F122" s="111"/>
      <c r="G122" s="111"/>
      <c r="H122" s="111"/>
      <c r="I122" s="111"/>
      <c r="J122" s="111"/>
      <c r="K122" s="111"/>
      <c r="L122" s="111"/>
      <c r="M122" s="111"/>
    </row>
    <row r="123" spans="5:13" hidden="1" x14ac:dyDescent="0.2">
      <c r="E123" s="111"/>
      <c r="F123" s="111"/>
      <c r="G123" s="111"/>
      <c r="H123" s="111"/>
      <c r="I123" s="111"/>
      <c r="J123" s="111"/>
      <c r="K123" s="111"/>
      <c r="L123" s="111"/>
      <c r="M123" s="111"/>
    </row>
    <row r="124" spans="5:13" hidden="1" x14ac:dyDescent="0.2">
      <c r="E124" s="111"/>
      <c r="F124" s="111"/>
      <c r="G124" s="111"/>
      <c r="H124" s="111"/>
      <c r="I124" s="111"/>
      <c r="J124" s="111"/>
      <c r="K124" s="111"/>
      <c r="L124" s="111"/>
      <c r="M124" s="111"/>
    </row>
    <row r="125" spans="5:13" hidden="1" x14ac:dyDescent="0.2">
      <c r="E125" s="111"/>
      <c r="F125" s="111"/>
      <c r="G125" s="111"/>
      <c r="H125" s="111"/>
      <c r="I125" s="111"/>
      <c r="J125" s="111"/>
      <c r="K125" s="111"/>
      <c r="L125" s="111"/>
      <c r="M125" s="111"/>
    </row>
    <row r="126" spans="5:13" hidden="1" x14ac:dyDescent="0.2">
      <c r="E126" s="111"/>
      <c r="F126" s="111"/>
      <c r="G126" s="111"/>
      <c r="H126" s="111"/>
      <c r="I126" s="111"/>
      <c r="J126" s="111"/>
      <c r="K126" s="111"/>
      <c r="L126" s="111"/>
      <c r="M126" s="111"/>
    </row>
    <row r="127" spans="5:13" hidden="1" x14ac:dyDescent="0.2">
      <c r="E127" s="111"/>
      <c r="F127" s="111"/>
      <c r="G127" s="111"/>
      <c r="H127" s="111"/>
      <c r="I127" s="111"/>
      <c r="J127" s="111"/>
      <c r="K127" s="111"/>
      <c r="L127" s="111"/>
      <c r="M127" s="111"/>
    </row>
    <row r="128" spans="5:13" hidden="1" x14ac:dyDescent="0.2">
      <c r="E128" s="111"/>
      <c r="F128" s="111"/>
      <c r="G128" s="111"/>
      <c r="H128" s="111"/>
      <c r="I128" s="111"/>
      <c r="J128" s="111"/>
      <c r="K128" s="111"/>
      <c r="L128" s="111"/>
      <c r="M128" s="111"/>
    </row>
    <row r="129" spans="5:13" hidden="1" x14ac:dyDescent="0.2">
      <c r="E129" s="111"/>
      <c r="F129" s="111"/>
      <c r="G129" s="111"/>
      <c r="H129" s="111"/>
      <c r="I129" s="111"/>
      <c r="J129" s="111"/>
      <c r="K129" s="111"/>
      <c r="L129" s="111"/>
      <c r="M129" s="111"/>
    </row>
    <row r="130" spans="5:13" hidden="1" x14ac:dyDescent="0.2">
      <c r="E130" s="111"/>
      <c r="F130" s="111"/>
      <c r="G130" s="111"/>
      <c r="H130" s="111"/>
      <c r="I130" s="111"/>
      <c r="J130" s="111"/>
      <c r="K130" s="111"/>
      <c r="L130" s="111"/>
      <c r="M130" s="111"/>
    </row>
    <row r="131" spans="5:13" hidden="1" x14ac:dyDescent="0.2">
      <c r="E131" s="111"/>
      <c r="F131" s="111"/>
      <c r="G131" s="111"/>
      <c r="H131" s="111"/>
      <c r="I131" s="111"/>
      <c r="J131" s="111"/>
      <c r="K131" s="111"/>
      <c r="L131" s="111"/>
      <c r="M131" s="111"/>
    </row>
    <row r="132" spans="5:13" hidden="1" x14ac:dyDescent="0.2">
      <c r="E132" s="111"/>
      <c r="F132" s="111"/>
      <c r="G132" s="111"/>
      <c r="H132" s="111"/>
      <c r="I132" s="111"/>
      <c r="J132" s="111"/>
      <c r="K132" s="111"/>
      <c r="L132" s="111"/>
      <c r="M132" s="111"/>
    </row>
    <row r="133" spans="5:13" hidden="1" x14ac:dyDescent="0.2"/>
    <row r="134" spans="5:13" hidden="1" x14ac:dyDescent="0.2"/>
    <row r="135" spans="5:13" hidden="1" x14ac:dyDescent="0.2"/>
  </sheetData>
  <sheetProtection algorithmName="SHA-512" hashValue="eLmZmdx4gLkeo0sWOBxLZS0CRJ5iF9UOb5Ni7sIMkOhFrZNwxVnmsi7iB8N9nGFvILMqXEyn9tCczDUPAbYhDQ==" saltValue="VtJhyti6MNrh/+6y9Y0abQ==" spinCount="100000" sheet="1" objects="1" scenarios="1" selectLockedCells="1"/>
  <mergeCells count="25">
    <mergeCell ref="B100:D100"/>
    <mergeCell ref="E100:L100"/>
    <mergeCell ref="B101:D101"/>
    <mergeCell ref="E101:L101"/>
    <mergeCell ref="B102:D102"/>
    <mergeCell ref="E102:L102"/>
    <mergeCell ref="B99:D99"/>
    <mergeCell ref="E99:L99"/>
    <mergeCell ref="E95:L95"/>
    <mergeCell ref="E96:L96"/>
    <mergeCell ref="B95:D95"/>
    <mergeCell ref="B96:D96"/>
    <mergeCell ref="B97:D97"/>
    <mergeCell ref="B98:D98"/>
    <mergeCell ref="E97:L97"/>
    <mergeCell ref="E98:L98"/>
    <mergeCell ref="B2:M2"/>
    <mergeCell ref="B94:D94"/>
    <mergeCell ref="C14:M14"/>
    <mergeCell ref="C18:M18"/>
    <mergeCell ref="C23:M23"/>
    <mergeCell ref="C29:M29"/>
    <mergeCell ref="C37:M37"/>
    <mergeCell ref="C53:M53"/>
    <mergeCell ref="C84:M84"/>
  </mergeCells>
  <printOptions horizontalCentered="1" verticalCentered="1"/>
  <pageMargins left="0.70866141732283472" right="0.70866141732283472" top="0.55118110236220474" bottom="0.94488188976377963" header="0.11811023622047245" footer="0.31496062992125984"/>
  <pageSetup scale="49" orientation="portrait" r:id="rId1"/>
  <headerFooter>
    <oddFooter>&amp;C&amp;F
&amp;P de &amp;N
Well Cost Estimation tool V1.0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U596"/>
  <sheetViews>
    <sheetView showGridLines="0" showRowColHeaders="0" tabSelected="1" zoomScale="80" zoomScaleNormal="80" workbookViewId="0">
      <pane ySplit="13" topLeftCell="A405" activePane="bottomLeft" state="frozenSplit"/>
      <selection pane="bottomLeft" activeCell="E510" sqref="E510"/>
    </sheetView>
  </sheetViews>
  <sheetFormatPr baseColWidth="10" defaultColWidth="0" defaultRowHeight="12.75" zeroHeight="1" x14ac:dyDescent="0.2"/>
  <cols>
    <col min="1" max="1" width="1.7109375" style="28" customWidth="1"/>
    <col min="2" max="2" width="5.28515625" style="11" customWidth="1"/>
    <col min="3" max="3" width="10.85546875" style="11" customWidth="1"/>
    <col min="4" max="4" width="7.85546875" style="19" customWidth="1"/>
    <col min="5" max="5" width="10.42578125" style="29" customWidth="1"/>
    <col min="6" max="6" width="25" style="19" customWidth="1"/>
    <col min="7" max="7" width="9.28515625" style="11" bestFit="1" customWidth="1"/>
    <col min="8" max="8" width="22.5703125" style="19" customWidth="1"/>
    <col min="9" max="9" width="7.7109375" style="11" customWidth="1"/>
    <col min="10" max="10" width="10.140625" style="11" customWidth="1"/>
    <col min="11" max="11" width="12.140625" style="11" bestFit="1" customWidth="1"/>
    <col min="12" max="12" width="13.42578125" style="11" bestFit="1" customWidth="1"/>
    <col min="13" max="17" width="14.42578125" style="19" customWidth="1"/>
    <col min="18" max="18" width="12" style="11" bestFit="1" customWidth="1"/>
    <col min="19" max="19" width="0.28515625" style="11" customWidth="1"/>
    <col min="20" max="20" width="12.28515625" style="11" bestFit="1" customWidth="1"/>
    <col min="21" max="21" width="1.7109375" style="11" customWidth="1"/>
    <col min="22" max="16384" width="11.42578125" style="11" hidden="1"/>
  </cols>
  <sheetData>
    <row r="1" spans="1:20" ht="13.5" thickBot="1" x14ac:dyDescent="0.25">
      <c r="A1" s="229" t="str">
        <f ca="1">+MENU!D5</f>
        <v>Well cost tool empty_150614_2131.</v>
      </c>
    </row>
    <row r="2" spans="1:20" s="28" customFormat="1" ht="45" customHeight="1" thickBot="1" x14ac:dyDescent="0.25">
      <c r="A2" s="229"/>
      <c r="B2" s="383" t="s">
        <v>689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5"/>
    </row>
    <row r="3" spans="1:20" x14ac:dyDescent="0.2">
      <c r="B3" s="30"/>
      <c r="C3" s="31"/>
      <c r="D3" s="32" t="s">
        <v>31</v>
      </c>
      <c r="E3" s="87"/>
      <c r="F3" s="98"/>
      <c r="G3" s="31"/>
      <c r="H3" s="98"/>
      <c r="I3" s="31"/>
      <c r="J3" s="33"/>
      <c r="K3" s="40"/>
      <c r="L3" s="41"/>
      <c r="M3" s="39" t="s">
        <v>26</v>
      </c>
      <c r="N3" s="39" t="s">
        <v>27</v>
      </c>
      <c r="O3" s="39" t="s">
        <v>28</v>
      </c>
      <c r="P3" s="39" t="s">
        <v>29</v>
      </c>
      <c r="Q3" s="39" t="s">
        <v>30</v>
      </c>
      <c r="R3" s="34"/>
      <c r="S3" s="35"/>
      <c r="T3" s="37"/>
    </row>
    <row r="4" spans="1:20" x14ac:dyDescent="0.2">
      <c r="B4" s="30"/>
      <c r="C4" s="31"/>
      <c r="D4" s="32" t="s">
        <v>3</v>
      </c>
      <c r="E4" s="87"/>
      <c r="F4" s="98"/>
      <c r="G4" s="31"/>
      <c r="H4" s="98"/>
      <c r="I4" s="31"/>
      <c r="J4" s="33"/>
      <c r="K4" s="42" t="str">
        <f>+'INITIAL DATA'!C8</f>
        <v xml:space="preserve">CIVIL WORKS </v>
      </c>
      <c r="L4" s="42" t="str">
        <f>+'INITIAL DATA'!D8</f>
        <v xml:space="preserve">MOBILIZATION </v>
      </c>
      <c r="M4" s="107" t="str">
        <f>IF('INITIAL DATA'!E8="N/A",IF('INITIAL DATA'!F8="N/A",IF('INITIAL DATA'!G8="N/A",IF('INITIAL DATA'!H8="N/A",IF('INITIAL DATA'!I8="N/A","N/A",'INITIAL DATA'!I8),'INITIAL DATA'!H8),'INITIAL DATA'!G8),'INITIAL DATA'!F8),'INITIAL DATA'!E8)</f>
        <v>N/A</v>
      </c>
      <c r="N4" s="107" t="str">
        <f>IF(M4='INITIAL DATA'!E8,IF('INITIAL DATA'!F8="N/A",IF('INITIAL DATA'!G8="N/A",IF('INITIAL DATA'!H8="N/A",IF('INITIAL DATA'!I8="N/A","N/A",'INITIAL DATA'!I8),'INITIAL DATA'!H8),'INITIAL DATA'!G8),'INITIAL DATA'!F8),IF(M4='INITIAL DATA'!F8, IF('INITIAL DATA'!G8="N/A",IF('INITIAL DATA'!H8="N/A",IF('INITIAL DATA'!I8="N/A","N/A",'INITIAL DATA'!I8),'INITIAL DATA'!H8),'INITIAL DATA'!G8),IF(M4='INITIAL DATA'!G8, IF('INITIAL DATA'!H8="N/A",IF('INITIAL DATA'!I8="N/A","N/A",'INITIAL DATA'!I8),'INITIAL DATA'!H8),IF(M4='INITIAL DATA'!H8, IF('INITIAL DATA'!I8="N/A","N/A",'INITIAL DATA'!I8),IF(M4='INITIAL DATA'!I8,"N/A","N/A")))))</f>
        <v>N/A</v>
      </c>
      <c r="O4" s="107" t="str">
        <f>IF(N4="N/A","N/A",IF(N4='INITIAL DATA'!F8, IF('INITIAL DATA'!G8="N/A",IF('INITIAL DATA'!H8="N/A",IF('INITIAL DATA'!I8="N/A","N/A",'INITIAL DATA'!I8),'INITIAL DATA'!H8),'INITIAL DATA'!G8),IF(N4='INITIAL DATA'!G8, IF('INITIAL DATA'!H8="N/A",IF('INITIAL DATA'!I8="N/A","N/A",'INITIAL DATA'!I8),'INITIAL DATA'!H8),IF(N4='INITIAL DATA'!H8, IF('INITIAL DATA'!I8="N/A","N/A",'INITIAL DATA'!I8),IF(N4='INITIAL DATA'!I8,"N/A","N/A")))))</f>
        <v>N/A</v>
      </c>
      <c r="P4" s="107" t="str">
        <f>IF(O4="N/A","N/A",IF(O4='INITIAL DATA'!G8, IF('INITIAL DATA'!H8="N/A",IF('INITIAL DATA'!I8="N/A","N/A",'INITIAL DATA'!I8),'INITIAL DATA'!H8),IF(O4='INITIAL DATA'!H8, IF('INITIAL DATA'!I8="N/A","N/A",'INITIAL DATA'!I8),IF(O4='INITIAL DATA'!I8,"N/A","N/A"))))</f>
        <v>N/A</v>
      </c>
      <c r="Q4" s="107" t="str">
        <f xml:space="preserve"> IF(P4="N/A","N/A",IF(P4='INITIAL DATA'!H8, IF('INITIAL DATA'!I8="N/A","N/A",'INITIAL DATA'!I8),IF(P4='INITIAL DATA'!I8,"N/A","N/A")))</f>
        <v>N/A</v>
      </c>
      <c r="R4" s="42" t="str">
        <f>+'INITIAL DATA'!J8</f>
        <v>N/A</v>
      </c>
      <c r="S4" s="43"/>
      <c r="T4" s="43" t="s">
        <v>66</v>
      </c>
    </row>
    <row r="5" spans="1:20" x14ac:dyDescent="0.2">
      <c r="B5" s="30"/>
      <c r="C5" s="31"/>
      <c r="D5" s="32" t="s">
        <v>51</v>
      </c>
      <c r="E5" s="87"/>
      <c r="F5" s="98"/>
      <c r="G5" s="31"/>
      <c r="H5" s="98"/>
      <c r="I5" s="31"/>
      <c r="J5" s="33"/>
      <c r="K5" s="43" t="str">
        <f>+K4</f>
        <v xml:space="preserve">CIVIL WORKS </v>
      </c>
      <c r="L5" s="43" t="str">
        <f>+L4</f>
        <v xml:space="preserve">MOBILIZATION </v>
      </c>
      <c r="M5" s="47" t="str">
        <f>IF(M4="N/A","N/A",OPERATIONS!E8)</f>
        <v>N/A</v>
      </c>
      <c r="N5" s="47" t="str">
        <f>IF(N4="N/A","N/A",OPERATIONS!F8)</f>
        <v>N/A</v>
      </c>
      <c r="O5" s="47" t="str">
        <f>IF(O4="N/A","N/A",OPERATIONS!G8)</f>
        <v>N/A</v>
      </c>
      <c r="P5" s="47" t="str">
        <f>IF(P4="N/A","N/A",OPERATIONS!H8)</f>
        <v>N/A</v>
      </c>
      <c r="Q5" s="47" t="str">
        <f>IF(Q4="N/A","N/A",OPERATIONS!I8)</f>
        <v>N/A</v>
      </c>
      <c r="R5" s="43" t="str">
        <f>IF(M4="N/A","N/A",OPERATIONS!J8)</f>
        <v>N/A</v>
      </c>
      <c r="S5" s="43"/>
      <c r="T5" s="43" t="s">
        <v>519</v>
      </c>
    </row>
    <row r="6" spans="1:20" x14ac:dyDescent="0.2">
      <c r="B6" s="30"/>
      <c r="C6" s="31"/>
      <c r="D6" s="32" t="s">
        <v>59</v>
      </c>
      <c r="E6" s="87"/>
      <c r="F6" s="98"/>
      <c r="G6" s="31"/>
      <c r="H6" s="98"/>
      <c r="I6" s="31"/>
      <c r="J6" s="33"/>
      <c r="K6" s="44">
        <f>+K7</f>
        <v>0</v>
      </c>
      <c r="L6" s="44">
        <f t="shared" ref="L6:R6" si="0">+L7</f>
        <v>0</v>
      </c>
      <c r="M6" s="232">
        <f t="shared" si="0"/>
        <v>0</v>
      </c>
      <c r="N6" s="232">
        <f t="shared" si="0"/>
        <v>0</v>
      </c>
      <c r="O6" s="232">
        <f t="shared" si="0"/>
        <v>0</v>
      </c>
      <c r="P6" s="232">
        <f t="shared" si="0"/>
        <v>0</v>
      </c>
      <c r="Q6" s="232">
        <f t="shared" si="0"/>
        <v>0</v>
      </c>
      <c r="R6" s="44">
        <f t="shared" si="0"/>
        <v>0</v>
      </c>
      <c r="S6" s="43"/>
      <c r="T6" s="44" t="str">
        <f t="shared" ref="T6" si="1">+T7</f>
        <v>N/A</v>
      </c>
    </row>
    <row r="7" spans="1:20" x14ac:dyDescent="0.2">
      <c r="B7" s="30"/>
      <c r="C7" s="31"/>
      <c r="D7" s="32" t="s">
        <v>60</v>
      </c>
      <c r="E7" s="87"/>
      <c r="F7" s="98"/>
      <c r="G7" s="31"/>
      <c r="H7" s="98"/>
      <c r="I7" s="31"/>
      <c r="J7" s="33"/>
      <c r="K7" s="45">
        <f>IF(M4="N/A",0,'INITIAL DATA'!C19)</f>
        <v>0</v>
      </c>
      <c r="L7" s="45">
        <f>IF(M4="N/A",0,'INITIAL DATA'!F19)</f>
        <v>0</v>
      </c>
      <c r="M7" s="233">
        <f>+L7+L9</f>
        <v>0</v>
      </c>
      <c r="N7" s="233">
        <f>+M7+M8+M9</f>
        <v>0</v>
      </c>
      <c r="O7" s="233">
        <f>+N7+N8+N9</f>
        <v>0</v>
      </c>
      <c r="P7" s="233">
        <f>+O7+O8+O9</f>
        <v>0</v>
      </c>
      <c r="Q7" s="233">
        <f>+P7+P8+P9</f>
        <v>0</v>
      </c>
      <c r="R7" s="45">
        <f>+Q7+Q8+Q9</f>
        <v>0</v>
      </c>
      <c r="S7" s="43"/>
      <c r="T7" s="45" t="str">
        <f>IF(M4="N/A","N/A",R7+R9)</f>
        <v>N/A</v>
      </c>
    </row>
    <row r="8" spans="1:20" x14ac:dyDescent="0.2">
      <c r="B8" s="30"/>
      <c r="C8" s="31"/>
      <c r="D8" s="32" t="s">
        <v>61</v>
      </c>
      <c r="E8" s="87"/>
      <c r="F8" s="98"/>
      <c r="G8" s="31"/>
      <c r="H8" s="98"/>
      <c r="I8" s="31"/>
      <c r="J8" s="33"/>
      <c r="K8" s="46" t="str">
        <f>+HLOOKUP(K4,'INITIAL DATA'!$C$8:$J$15,6,0)</f>
        <v>N/A</v>
      </c>
      <c r="L8" s="46" t="str">
        <f>HLOOKUP(L4,'INITIAL DATA'!$C$8:$J$15,6,0)</f>
        <v>N/A</v>
      </c>
      <c r="M8" s="234">
        <f>IF(M4="n/A",0,HLOOKUP(M4,'INITIAL DATA'!$C$8:$J$15,6,0))</f>
        <v>0</v>
      </c>
      <c r="N8" s="234">
        <f>IF(N4="n/A",0,HLOOKUP(N4,'INITIAL DATA'!$C$8:$J$15,6,0))</f>
        <v>0</v>
      </c>
      <c r="O8" s="234">
        <f>IF(O4="n/A",0,HLOOKUP(O4,'INITIAL DATA'!$C$8:$J$15,6,0))</f>
        <v>0</v>
      </c>
      <c r="P8" s="234">
        <f>IF(P4="n/A",0,HLOOKUP(P4,'INITIAL DATA'!$C$8:$J$15,6,0))</f>
        <v>0</v>
      </c>
      <c r="Q8" s="234">
        <f>IF(Q4="n/A",0,HLOOKUP(Q4,'INITIAL DATA'!$C$8:$J$15,6,0))</f>
        <v>0</v>
      </c>
      <c r="R8" s="46">
        <f>IF(R4="n/A",0,HLOOKUP(R4,'INITIAL DATA'!$C$8:$J$15,6,0))</f>
        <v>0</v>
      </c>
      <c r="S8" s="43"/>
      <c r="T8" s="43"/>
    </row>
    <row r="9" spans="1:20" x14ac:dyDescent="0.2">
      <c r="B9" s="30"/>
      <c r="C9" s="31"/>
      <c r="D9" s="32" t="s">
        <v>62</v>
      </c>
      <c r="E9" s="87"/>
      <c r="F9" s="98"/>
      <c r="G9" s="31"/>
      <c r="H9" s="98"/>
      <c r="I9" s="31"/>
      <c r="J9" s="33"/>
      <c r="K9" s="46">
        <f>IF(M4="N/A",0,HLOOKUP(K4,'INITIAL DATA'!$C$8:$J$15,7,0))</f>
        <v>0</v>
      </c>
      <c r="L9" s="46">
        <f>IF(M4="N/A",0,HLOOKUP(L4,'INITIAL DATA'!$C$8:$J$15,7,0))</f>
        <v>0</v>
      </c>
      <c r="M9" s="234">
        <f>IF(M4="N/A",0,HLOOKUP(M4,'INITIAL DATA'!$C$8:$J$15,7,0))</f>
        <v>0</v>
      </c>
      <c r="N9" s="234">
        <f>IF(N4="N/A",0,HLOOKUP(N4,'INITIAL DATA'!$C$8:$J$15,7,0))</f>
        <v>0</v>
      </c>
      <c r="O9" s="234">
        <f>IF(O4="N/A",0,HLOOKUP(O4,'INITIAL DATA'!$C$8:$J$15,7,0))</f>
        <v>0</v>
      </c>
      <c r="P9" s="234">
        <f>IF(P4="N/A",0,HLOOKUP(P4,'INITIAL DATA'!$C$8:$J$15,7,0))</f>
        <v>0</v>
      </c>
      <c r="Q9" s="234">
        <f>IF(Q4="N/A",0,HLOOKUP(Q4,'INITIAL DATA'!$C$8:$J$15,7,0))</f>
        <v>0</v>
      </c>
      <c r="R9" s="46">
        <f>IF(R4="N/A",0,HLOOKUP(R4,'INITIAL DATA'!$C$8:$J$15,7,0))</f>
        <v>0</v>
      </c>
      <c r="S9" s="43"/>
      <c r="T9" s="43"/>
    </row>
    <row r="10" spans="1:20" x14ac:dyDescent="0.2">
      <c r="B10" s="30"/>
      <c r="C10" s="31"/>
      <c r="D10" s="32" t="s">
        <v>65</v>
      </c>
      <c r="E10" s="87"/>
      <c r="F10" s="98"/>
      <c r="G10" s="31"/>
      <c r="H10" s="98"/>
      <c r="I10" s="31"/>
      <c r="J10" s="33"/>
      <c r="K10" s="46">
        <v>0</v>
      </c>
      <c r="L10" s="46">
        <v>0</v>
      </c>
      <c r="M10" s="234">
        <f>+M8+M9</f>
        <v>0</v>
      </c>
      <c r="N10" s="234">
        <f>+M10+N8+N9</f>
        <v>0</v>
      </c>
      <c r="O10" s="234">
        <f>+N10+O8+O9</f>
        <v>0</v>
      </c>
      <c r="P10" s="234">
        <f>+O10+P8+P9</f>
        <v>0</v>
      </c>
      <c r="Q10" s="234">
        <f>+P10+Q8+Q9</f>
        <v>0</v>
      </c>
      <c r="R10" s="46">
        <f>+Q10+R9</f>
        <v>0</v>
      </c>
      <c r="S10" s="43"/>
      <c r="T10" s="46">
        <f>+R10</f>
        <v>0</v>
      </c>
    </row>
    <row r="11" spans="1:20" x14ac:dyDescent="0.2">
      <c r="B11" s="30"/>
      <c r="C11" s="31"/>
      <c r="D11" s="32" t="s">
        <v>63</v>
      </c>
      <c r="E11" s="87"/>
      <c r="F11" s="98"/>
      <c r="G11" s="31"/>
      <c r="H11" s="98"/>
      <c r="I11" s="31"/>
      <c r="J11" s="33"/>
      <c r="K11" s="46">
        <f>+HLOOKUP(K4,'INITIAL DATA'!$C$8:$J$15,4,0)</f>
        <v>0</v>
      </c>
      <c r="L11" s="46">
        <f>+HLOOKUP(L4,'INITIAL DATA'!$C$8:$J$15,4,0)</f>
        <v>0</v>
      </c>
      <c r="M11" s="234">
        <f>IF(M4="N/A",0,HLOOKUP(M4,'INITIAL DATA'!$C$8:$J$15,4,0))</f>
        <v>0</v>
      </c>
      <c r="N11" s="234">
        <f>IF(N4="N/A",0,HLOOKUP(N4,'INITIAL DATA'!$C$8:$J$15,4,0))</f>
        <v>0</v>
      </c>
      <c r="O11" s="234">
        <f>IF(O4="N/A",0,HLOOKUP(O4,'INITIAL DATA'!$C$8:$J$15,4,0))</f>
        <v>0</v>
      </c>
      <c r="P11" s="234">
        <f>IF(P4="N/A",0,HLOOKUP(P4,'INITIAL DATA'!$C$8:$J$15,4,0))</f>
        <v>0</v>
      </c>
      <c r="Q11" s="234">
        <f>IF(Q4="N/A",0,HLOOKUP(Q4,'INITIAL DATA'!$C$8:$J$15,4,0))</f>
        <v>0</v>
      </c>
      <c r="R11" s="46">
        <f>IF(R4="N/A",0,HLOOKUP(R4,'INITIAL DATA'!$C$8:$J$15,4,0))</f>
        <v>0</v>
      </c>
      <c r="S11" s="43"/>
      <c r="T11" s="46">
        <f>+R11</f>
        <v>0</v>
      </c>
    </row>
    <row r="12" spans="1:20" x14ac:dyDescent="0.2">
      <c r="B12" s="34"/>
      <c r="C12" s="35"/>
      <c r="D12" s="36" t="s">
        <v>74</v>
      </c>
      <c r="E12" s="88"/>
      <c r="F12" s="99"/>
      <c r="G12" s="35"/>
      <c r="H12" s="99"/>
      <c r="I12" s="35"/>
      <c r="J12" s="37"/>
      <c r="K12" s="46" t="str">
        <f>+HLOOKUP(K4,'INITIAL DATA'!$C$8:$J$15,5,0)</f>
        <v>N/A</v>
      </c>
      <c r="L12" s="46" t="str">
        <f>+HLOOKUP(L4,'INITIAL DATA'!$C$8:$J$15,5,0)</f>
        <v>N/A</v>
      </c>
      <c r="M12" s="234" t="str">
        <f>IF(M4="N/A","N/A",HLOOKUP(M4,'INITIAL DATA'!$C$8:$J$15,5,0))</f>
        <v>N/A</v>
      </c>
      <c r="N12" s="234" t="str">
        <f>IF(N4="N/A","N/A",HLOOKUP(N4,'INITIAL DATA'!$C$8:$J$15,5,0))</f>
        <v>N/A</v>
      </c>
      <c r="O12" s="234" t="str">
        <f>IF(O4="N/A","N/A",HLOOKUP(O4,'INITIAL DATA'!$C$8:$J$15,5,0))</f>
        <v>N/A</v>
      </c>
      <c r="P12" s="234" t="str">
        <f>IF(P4="N/A","N/A",HLOOKUP(P4,'INITIAL DATA'!$C$8:$J$15,5,0))</f>
        <v>N/A</v>
      </c>
      <c r="Q12" s="234" t="str">
        <f>IF(Q4="N/A","N/A",HLOOKUP(Q4,'INITIAL DATA'!$C$8:$J$15,5,0))</f>
        <v>N/A</v>
      </c>
      <c r="R12" s="46" t="str">
        <f>IF(R4="N/A","N/A",HLOOKUP(R4,'INITIAL DATA'!$C$8:$J$15,5,0))</f>
        <v>N/A</v>
      </c>
      <c r="S12" s="43"/>
      <c r="T12" s="46" t="s">
        <v>519</v>
      </c>
    </row>
    <row r="13" spans="1:20" ht="25.5" x14ac:dyDescent="0.2">
      <c r="B13" s="38" t="s">
        <v>67</v>
      </c>
      <c r="C13" s="39" t="s">
        <v>76</v>
      </c>
      <c r="D13" s="39" t="s">
        <v>504</v>
      </c>
      <c r="E13" s="89" t="s">
        <v>68</v>
      </c>
      <c r="F13" s="39" t="s">
        <v>75</v>
      </c>
      <c r="G13" s="38" t="s">
        <v>69</v>
      </c>
      <c r="H13" s="39" t="s">
        <v>70</v>
      </c>
      <c r="I13" s="39" t="s">
        <v>71</v>
      </c>
      <c r="J13" s="39" t="s">
        <v>72</v>
      </c>
      <c r="K13" s="38" t="s">
        <v>68</v>
      </c>
      <c r="L13" s="38" t="s">
        <v>68</v>
      </c>
      <c r="M13" s="39" t="s">
        <v>68</v>
      </c>
      <c r="N13" s="39" t="s">
        <v>68</v>
      </c>
      <c r="O13" s="39" t="s">
        <v>68</v>
      </c>
      <c r="P13" s="39" t="s">
        <v>68</v>
      </c>
      <c r="Q13" s="39" t="s">
        <v>68</v>
      </c>
      <c r="R13" s="38" t="s">
        <v>68</v>
      </c>
      <c r="S13" s="38"/>
      <c r="T13" s="38" t="s">
        <v>68</v>
      </c>
    </row>
    <row r="14" spans="1:20" x14ac:dyDescent="0.2">
      <c r="A14" s="246"/>
      <c r="B14" s="59" t="s">
        <v>25</v>
      </c>
      <c r="C14" s="60"/>
      <c r="D14" s="61"/>
      <c r="E14" s="90" t="s">
        <v>581</v>
      </c>
      <c r="F14" s="61"/>
      <c r="G14" s="60"/>
      <c r="H14" s="61"/>
      <c r="I14" s="60"/>
      <c r="J14" s="60"/>
      <c r="K14" s="62"/>
      <c r="L14" s="62"/>
      <c r="M14" s="235"/>
      <c r="N14" s="235"/>
      <c r="O14" s="235"/>
      <c r="P14" s="235"/>
      <c r="Q14" s="235"/>
      <c r="R14" s="62"/>
      <c r="S14" s="62"/>
      <c r="T14" s="63"/>
    </row>
    <row r="15" spans="1:20" x14ac:dyDescent="0.2">
      <c r="B15" s="51" t="s">
        <v>73</v>
      </c>
      <c r="C15" s="52"/>
      <c r="D15" s="53"/>
      <c r="E15" s="91" t="s">
        <v>86</v>
      </c>
      <c r="F15" s="53"/>
      <c r="G15" s="52"/>
      <c r="H15" s="53"/>
      <c r="I15" s="54"/>
      <c r="J15" s="54"/>
      <c r="K15" s="64"/>
      <c r="L15" s="64"/>
      <c r="M15" s="236"/>
      <c r="N15" s="236"/>
      <c r="O15" s="236"/>
      <c r="P15" s="236"/>
      <c r="Q15" s="236"/>
      <c r="R15" s="64"/>
      <c r="S15" s="64"/>
      <c r="T15" s="65"/>
    </row>
    <row r="16" spans="1:20" ht="25.5" x14ac:dyDescent="0.2">
      <c r="B16" s="43">
        <v>1</v>
      </c>
      <c r="C16" s="85">
        <v>11100101</v>
      </c>
      <c r="D16" s="47" t="s">
        <v>505</v>
      </c>
      <c r="E16" s="48">
        <f>+IF(C16="",0,VLOOKUP(C16,'AVERAGE COST'!$B$3:$E$995,4))</f>
        <v>0</v>
      </c>
      <c r="F16" s="47" t="s">
        <v>77</v>
      </c>
      <c r="G16" s="43">
        <v>111001</v>
      </c>
      <c r="H16" s="47" t="s">
        <v>81</v>
      </c>
      <c r="I16" s="155"/>
      <c r="J16" s="155"/>
      <c r="K16" s="48">
        <f>+IF($M$4="N/A",0,'INITIAL DATA'!C20)</f>
        <v>0</v>
      </c>
      <c r="L16" s="48">
        <v>0</v>
      </c>
      <c r="M16" s="237">
        <f>+IF($M$4="N/A",0,0)</f>
        <v>0</v>
      </c>
      <c r="N16" s="237">
        <f>+IF($N$4="N/A",0,0)</f>
        <v>0</v>
      </c>
      <c r="O16" s="237">
        <f>+IF($O$4="N/A",0,0)</f>
        <v>0</v>
      </c>
      <c r="P16" s="237">
        <f>+IF($P$4="N/A",0,0)</f>
        <v>0</v>
      </c>
      <c r="Q16" s="237">
        <f>+IF($Q$4="N/A",0,0)</f>
        <v>0</v>
      </c>
      <c r="R16" s="48">
        <f>+IF($M$4="N/A",0,0)</f>
        <v>0</v>
      </c>
      <c r="S16" s="48"/>
      <c r="T16" s="48">
        <f>+SUM(K16:R16)</f>
        <v>0</v>
      </c>
    </row>
    <row r="17" spans="1:20" ht="25.5" x14ac:dyDescent="0.2">
      <c r="B17" s="43">
        <v>2</v>
      </c>
      <c r="C17" s="85">
        <v>11100102</v>
      </c>
      <c r="D17" s="47" t="s">
        <v>505</v>
      </c>
      <c r="E17" s="48">
        <f>+IF(C17="",0,VLOOKUP(C17,'AVERAGE COST'!$B$3:$E$995,4))</f>
        <v>0</v>
      </c>
      <c r="F17" s="47" t="s">
        <v>78</v>
      </c>
      <c r="G17" s="43">
        <v>111001</v>
      </c>
      <c r="H17" s="47" t="s">
        <v>81</v>
      </c>
      <c r="I17" s="155"/>
      <c r="J17" s="155"/>
      <c r="K17" s="48">
        <f>+IF($M$4="N/A",0,'INITIAL DATA'!C21)</f>
        <v>0</v>
      </c>
      <c r="L17" s="48">
        <v>0</v>
      </c>
      <c r="M17" s="237">
        <f t="shared" ref="M17" si="2">+IF($M$4="N/A",0,0)</f>
        <v>0</v>
      </c>
      <c r="N17" s="237">
        <f t="shared" ref="N17" si="3">+IF($N$4="N/A",0,0)</f>
        <v>0</v>
      </c>
      <c r="O17" s="237">
        <f t="shared" ref="O17" si="4">+IF($O$4="N/A",0,0)</f>
        <v>0</v>
      </c>
      <c r="P17" s="237">
        <f t="shared" ref="P17" si="5">+IF($P$4="N/A",0,0)</f>
        <v>0</v>
      </c>
      <c r="Q17" s="237">
        <f t="shared" ref="Q17" si="6">+IF($Q$4="N/A",0,0)</f>
        <v>0</v>
      </c>
      <c r="R17" s="48">
        <f t="shared" ref="R17" si="7">+IF($M$4="N/A",0,0)</f>
        <v>0</v>
      </c>
      <c r="S17" s="48"/>
      <c r="T17" s="48">
        <f t="shared" ref="T17:T19" si="8">+SUM(K17:R17)</f>
        <v>0</v>
      </c>
    </row>
    <row r="18" spans="1:20" ht="25.5" x14ac:dyDescent="0.2">
      <c r="B18" s="43">
        <v>3</v>
      </c>
      <c r="C18" s="155"/>
      <c r="D18" s="265"/>
      <c r="E18" s="266"/>
      <c r="F18" s="265"/>
      <c r="G18" s="43">
        <v>111001</v>
      </c>
      <c r="H18" s="47" t="s">
        <v>81</v>
      </c>
      <c r="I18" s="155"/>
      <c r="J18" s="155"/>
      <c r="K18" s="266"/>
      <c r="L18" s="269">
        <v>0</v>
      </c>
      <c r="M18" s="269">
        <v>0</v>
      </c>
      <c r="N18" s="269">
        <v>0</v>
      </c>
      <c r="O18" s="269">
        <v>0</v>
      </c>
      <c r="P18" s="269">
        <v>0</v>
      </c>
      <c r="Q18" s="269">
        <v>0</v>
      </c>
      <c r="R18" s="269">
        <v>0</v>
      </c>
      <c r="S18" s="48"/>
      <c r="T18" s="48">
        <f t="shared" si="8"/>
        <v>0</v>
      </c>
    </row>
    <row r="19" spans="1:20" ht="25.5" x14ac:dyDescent="0.2">
      <c r="B19" s="43">
        <v>4</v>
      </c>
      <c r="C19" s="155"/>
      <c r="D19" s="265"/>
      <c r="E19" s="266"/>
      <c r="F19" s="265"/>
      <c r="G19" s="43">
        <v>111001</v>
      </c>
      <c r="H19" s="47" t="s">
        <v>81</v>
      </c>
      <c r="I19" s="155"/>
      <c r="J19" s="155"/>
      <c r="K19" s="266"/>
      <c r="L19" s="269">
        <v>0</v>
      </c>
      <c r="M19" s="269">
        <v>0</v>
      </c>
      <c r="N19" s="269">
        <v>0</v>
      </c>
      <c r="O19" s="269">
        <v>0</v>
      </c>
      <c r="P19" s="269">
        <v>0</v>
      </c>
      <c r="Q19" s="269">
        <v>0</v>
      </c>
      <c r="R19" s="269">
        <v>0</v>
      </c>
      <c r="S19" s="48"/>
      <c r="T19" s="48">
        <f t="shared" si="8"/>
        <v>0</v>
      </c>
    </row>
    <row r="20" spans="1:20" s="12" customFormat="1" x14ac:dyDescent="0.2">
      <c r="A20" s="28"/>
      <c r="B20" s="66" t="s">
        <v>32</v>
      </c>
      <c r="C20" s="67"/>
      <c r="D20" s="68"/>
      <c r="E20" s="92" t="s">
        <v>512</v>
      </c>
      <c r="F20" s="68"/>
      <c r="G20" s="67"/>
      <c r="H20" s="68"/>
      <c r="I20" s="69"/>
      <c r="J20" s="69"/>
      <c r="K20" s="49">
        <f>SUM(K16:K19)</f>
        <v>0</v>
      </c>
      <c r="L20" s="49">
        <f t="shared" ref="L20:T20" si="9">SUM(L16:L19)</f>
        <v>0</v>
      </c>
      <c r="M20" s="238">
        <f t="shared" si="9"/>
        <v>0</v>
      </c>
      <c r="N20" s="238">
        <f t="shared" si="9"/>
        <v>0</v>
      </c>
      <c r="O20" s="238">
        <f t="shared" si="9"/>
        <v>0</v>
      </c>
      <c r="P20" s="238">
        <f t="shared" si="9"/>
        <v>0</v>
      </c>
      <c r="Q20" s="238">
        <f t="shared" si="9"/>
        <v>0</v>
      </c>
      <c r="R20" s="49">
        <f t="shared" si="9"/>
        <v>0</v>
      </c>
      <c r="S20" s="49"/>
      <c r="T20" s="49">
        <f t="shared" si="9"/>
        <v>0</v>
      </c>
    </row>
    <row r="21" spans="1:20" x14ac:dyDescent="0.2">
      <c r="B21" s="55" t="s">
        <v>25</v>
      </c>
      <c r="C21" s="56"/>
      <c r="D21" s="57"/>
      <c r="E21" s="82" t="s">
        <v>582</v>
      </c>
      <c r="F21" s="100"/>
      <c r="G21" s="58"/>
      <c r="H21" s="100"/>
      <c r="I21" s="58"/>
      <c r="J21" s="58"/>
      <c r="K21" s="50">
        <f>+K20</f>
        <v>0</v>
      </c>
      <c r="L21" s="50">
        <f t="shared" ref="L21:T21" si="10">+L20</f>
        <v>0</v>
      </c>
      <c r="M21" s="239">
        <f t="shared" si="10"/>
        <v>0</v>
      </c>
      <c r="N21" s="239">
        <f t="shared" si="10"/>
        <v>0</v>
      </c>
      <c r="O21" s="239">
        <f t="shared" si="10"/>
        <v>0</v>
      </c>
      <c r="P21" s="239">
        <f t="shared" si="10"/>
        <v>0</v>
      </c>
      <c r="Q21" s="239">
        <f t="shared" si="10"/>
        <v>0</v>
      </c>
      <c r="R21" s="50">
        <f t="shared" si="10"/>
        <v>0</v>
      </c>
      <c r="S21" s="50"/>
      <c r="T21" s="50">
        <f t="shared" si="10"/>
        <v>0</v>
      </c>
    </row>
    <row r="22" spans="1:20" x14ac:dyDescent="0.2">
      <c r="K22" s="29"/>
      <c r="L22" s="29"/>
      <c r="M22" s="240"/>
      <c r="N22" s="240"/>
      <c r="O22" s="240"/>
      <c r="P22" s="240"/>
      <c r="Q22" s="240"/>
      <c r="R22" s="29"/>
      <c r="S22" s="29"/>
      <c r="T22" s="29"/>
    </row>
    <row r="23" spans="1:20" x14ac:dyDescent="0.2">
      <c r="B23" s="72" t="s">
        <v>79</v>
      </c>
      <c r="C23" s="73"/>
      <c r="D23" s="74"/>
      <c r="E23" s="93" t="s">
        <v>82</v>
      </c>
      <c r="F23" s="74"/>
      <c r="G23" s="73"/>
      <c r="H23" s="74"/>
      <c r="I23" s="73"/>
      <c r="J23" s="73"/>
      <c r="K23" s="75"/>
      <c r="L23" s="75"/>
      <c r="M23" s="241"/>
      <c r="N23" s="241"/>
      <c r="O23" s="241"/>
      <c r="P23" s="241"/>
      <c r="Q23" s="241"/>
      <c r="R23" s="75"/>
      <c r="S23" s="75"/>
      <c r="T23" s="76"/>
    </row>
    <row r="24" spans="1:20" x14ac:dyDescent="0.2">
      <c r="B24" s="51" t="s">
        <v>80</v>
      </c>
      <c r="C24" s="52"/>
      <c r="D24" s="53"/>
      <c r="E24" s="91" t="s">
        <v>583</v>
      </c>
      <c r="F24" s="53"/>
      <c r="G24" s="52"/>
      <c r="H24" s="53"/>
      <c r="I24" s="54"/>
      <c r="J24" s="54"/>
      <c r="K24" s="64"/>
      <c r="L24" s="64"/>
      <c r="M24" s="236"/>
      <c r="N24" s="236"/>
      <c r="O24" s="236"/>
      <c r="P24" s="236"/>
      <c r="Q24" s="236"/>
      <c r="R24" s="64"/>
      <c r="S24" s="64"/>
      <c r="T24" s="65"/>
    </row>
    <row r="25" spans="1:20" ht="25.5" x14ac:dyDescent="0.2">
      <c r="B25" s="43">
        <v>1</v>
      </c>
      <c r="C25" s="85">
        <v>11100103</v>
      </c>
      <c r="D25" s="47" t="s">
        <v>505</v>
      </c>
      <c r="E25" s="48">
        <f>+IF(C25="",0,VLOOKUP(C25,'AVERAGE COST'!$B$3:$E$995,4))</f>
        <v>0</v>
      </c>
      <c r="F25" s="47" t="s">
        <v>83</v>
      </c>
      <c r="G25" s="43">
        <v>111001</v>
      </c>
      <c r="H25" s="47" t="s">
        <v>81</v>
      </c>
      <c r="I25" s="155"/>
      <c r="J25" s="155"/>
      <c r="K25" s="48">
        <f>+IF($M$4="N/A",0,'INITIAL DATA'!C22)</f>
        <v>0</v>
      </c>
      <c r="L25" s="48">
        <v>0</v>
      </c>
      <c r="M25" s="237">
        <f>+IF($M$4="N/A",0,0)</f>
        <v>0</v>
      </c>
      <c r="N25" s="237">
        <f>+IF($N$4="N/A",0,0)</f>
        <v>0</v>
      </c>
      <c r="O25" s="237">
        <f>+IF($O$4="N/A",0,0)</f>
        <v>0</v>
      </c>
      <c r="P25" s="237">
        <f>+IF($P$4="N/A",0,0)</f>
        <v>0</v>
      </c>
      <c r="Q25" s="237">
        <f>+IF($Q$4="N/A",0,0)</f>
        <v>0</v>
      </c>
      <c r="R25" s="48">
        <f>+IF($M$4="N/A",0,0)</f>
        <v>0</v>
      </c>
      <c r="S25" s="48"/>
      <c r="T25" s="48">
        <f>SUM(K25:R25)</f>
        <v>0</v>
      </c>
    </row>
    <row r="26" spans="1:20" ht="25.5" x14ac:dyDescent="0.2">
      <c r="B26" s="43">
        <v>2</v>
      </c>
      <c r="C26" s="85">
        <v>11100104</v>
      </c>
      <c r="D26" s="47" t="s">
        <v>505</v>
      </c>
      <c r="E26" s="48">
        <f>+IF(C26="",0,VLOOKUP(C26,'AVERAGE COST'!$B$3:$E$995,4))</f>
        <v>0</v>
      </c>
      <c r="F26" s="47" t="s">
        <v>84</v>
      </c>
      <c r="G26" s="43">
        <v>111001</v>
      </c>
      <c r="H26" s="47" t="s">
        <v>81</v>
      </c>
      <c r="I26" s="155"/>
      <c r="J26" s="155"/>
      <c r="K26" s="48">
        <f>+IF($M$4="N/A",0,'INITIAL DATA'!C23)</f>
        <v>0</v>
      </c>
      <c r="L26" s="48">
        <v>0</v>
      </c>
      <c r="M26" s="237">
        <f t="shared" ref="M26" si="11">+IF($M$4="N/A",0,0)</f>
        <v>0</v>
      </c>
      <c r="N26" s="237">
        <f t="shared" ref="N26" si="12">+IF($N$4="N/A",0,0)</f>
        <v>0</v>
      </c>
      <c r="O26" s="237">
        <f t="shared" ref="O26" si="13">+IF($O$4="N/A",0,0)</f>
        <v>0</v>
      </c>
      <c r="P26" s="237">
        <f t="shared" ref="P26" si="14">+IF($P$4="N/A",0,0)</f>
        <v>0</v>
      </c>
      <c r="Q26" s="237">
        <f t="shared" ref="Q26" si="15">+IF($Q$4="N/A",0,0)</f>
        <v>0</v>
      </c>
      <c r="R26" s="48">
        <f t="shared" ref="R26" si="16">+IF($M$4="N/A",0,0)</f>
        <v>0</v>
      </c>
      <c r="S26" s="48"/>
      <c r="T26" s="48">
        <f t="shared" ref="T26:T29" si="17">SUM(K26:R26)</f>
        <v>0</v>
      </c>
    </row>
    <row r="27" spans="1:20" ht="25.5" x14ac:dyDescent="0.2">
      <c r="B27" s="43">
        <v>3</v>
      </c>
      <c r="C27" s="155"/>
      <c r="D27" s="265"/>
      <c r="E27" s="266"/>
      <c r="F27" s="265"/>
      <c r="G27" s="43">
        <v>111001</v>
      </c>
      <c r="H27" s="47" t="s">
        <v>81</v>
      </c>
      <c r="I27" s="155"/>
      <c r="J27" s="155"/>
      <c r="K27" s="266"/>
      <c r="L27" s="269">
        <v>0</v>
      </c>
      <c r="M27" s="269">
        <v>0</v>
      </c>
      <c r="N27" s="269">
        <v>0</v>
      </c>
      <c r="O27" s="269">
        <v>0</v>
      </c>
      <c r="P27" s="269">
        <v>0</v>
      </c>
      <c r="Q27" s="269">
        <v>0</v>
      </c>
      <c r="R27" s="269">
        <v>0</v>
      </c>
      <c r="S27" s="269">
        <v>0</v>
      </c>
      <c r="T27" s="48">
        <f t="shared" si="17"/>
        <v>0</v>
      </c>
    </row>
    <row r="28" spans="1:20" ht="25.5" x14ac:dyDescent="0.2">
      <c r="B28" s="43">
        <v>4</v>
      </c>
      <c r="C28" s="155"/>
      <c r="D28" s="265"/>
      <c r="E28" s="266"/>
      <c r="F28" s="265"/>
      <c r="G28" s="43">
        <v>111001</v>
      </c>
      <c r="H28" s="47" t="s">
        <v>81</v>
      </c>
      <c r="I28" s="155"/>
      <c r="J28" s="155"/>
      <c r="K28" s="266"/>
      <c r="L28" s="269">
        <v>0</v>
      </c>
      <c r="M28" s="269">
        <v>0</v>
      </c>
      <c r="N28" s="269">
        <v>0</v>
      </c>
      <c r="O28" s="269">
        <v>0</v>
      </c>
      <c r="P28" s="269">
        <v>0</v>
      </c>
      <c r="Q28" s="269">
        <v>0</v>
      </c>
      <c r="R28" s="269">
        <v>0</v>
      </c>
      <c r="S28" s="269">
        <v>0</v>
      </c>
      <c r="T28" s="48">
        <f t="shared" si="17"/>
        <v>0</v>
      </c>
    </row>
    <row r="29" spans="1:20" ht="25.5" x14ac:dyDescent="0.2">
      <c r="B29" s="43">
        <v>5</v>
      </c>
      <c r="C29" s="155"/>
      <c r="D29" s="265"/>
      <c r="E29" s="266"/>
      <c r="F29" s="265"/>
      <c r="G29" s="43">
        <v>111001</v>
      </c>
      <c r="H29" s="47" t="s">
        <v>81</v>
      </c>
      <c r="I29" s="155"/>
      <c r="J29" s="155"/>
      <c r="K29" s="266"/>
      <c r="L29" s="269">
        <v>0</v>
      </c>
      <c r="M29" s="269">
        <v>0</v>
      </c>
      <c r="N29" s="269">
        <v>0</v>
      </c>
      <c r="O29" s="269">
        <v>0</v>
      </c>
      <c r="P29" s="269">
        <v>0</v>
      </c>
      <c r="Q29" s="269">
        <v>0</v>
      </c>
      <c r="R29" s="269">
        <v>0</v>
      </c>
      <c r="S29" s="269">
        <v>0</v>
      </c>
      <c r="T29" s="48">
        <f t="shared" si="17"/>
        <v>0</v>
      </c>
    </row>
    <row r="30" spans="1:20" s="12" customFormat="1" x14ac:dyDescent="0.2">
      <c r="A30" s="28"/>
      <c r="B30" s="66" t="s">
        <v>32</v>
      </c>
      <c r="C30" s="67"/>
      <c r="D30" s="68"/>
      <c r="E30" s="92" t="s">
        <v>584</v>
      </c>
      <c r="F30" s="68"/>
      <c r="G30" s="67"/>
      <c r="H30" s="68"/>
      <c r="I30" s="69"/>
      <c r="J30" s="69"/>
      <c r="K30" s="49">
        <f>SUM(K25:K29)</f>
        <v>0</v>
      </c>
      <c r="L30" s="49">
        <f t="shared" ref="L30:T30" si="18">SUM(L25:L29)</f>
        <v>0</v>
      </c>
      <c r="M30" s="238">
        <f t="shared" si="18"/>
        <v>0</v>
      </c>
      <c r="N30" s="238">
        <f t="shared" si="18"/>
        <v>0</v>
      </c>
      <c r="O30" s="238">
        <f t="shared" si="18"/>
        <v>0</v>
      </c>
      <c r="P30" s="238">
        <f t="shared" si="18"/>
        <v>0</v>
      </c>
      <c r="Q30" s="238">
        <f t="shared" si="18"/>
        <v>0</v>
      </c>
      <c r="R30" s="49">
        <f t="shared" si="18"/>
        <v>0</v>
      </c>
      <c r="S30" s="49"/>
      <c r="T30" s="49">
        <f t="shared" si="18"/>
        <v>0</v>
      </c>
    </row>
    <row r="31" spans="1:20" s="12" customFormat="1" x14ac:dyDescent="0.2">
      <c r="A31" s="28"/>
      <c r="B31" s="51" t="s">
        <v>87</v>
      </c>
      <c r="C31" s="52"/>
      <c r="D31" s="53"/>
      <c r="E31" s="91" t="s">
        <v>85</v>
      </c>
      <c r="F31" s="53"/>
      <c r="G31" s="52"/>
      <c r="H31" s="53"/>
      <c r="I31" s="54"/>
      <c r="J31" s="54"/>
      <c r="K31" s="64"/>
      <c r="L31" s="64"/>
      <c r="M31" s="236"/>
      <c r="N31" s="236"/>
      <c r="O31" s="236"/>
      <c r="P31" s="236"/>
      <c r="Q31" s="236"/>
      <c r="R31" s="64"/>
      <c r="S31" s="64"/>
      <c r="T31" s="65"/>
    </row>
    <row r="32" spans="1:20" ht="25.5" x14ac:dyDescent="0.2">
      <c r="B32" s="43">
        <v>1</v>
      </c>
      <c r="C32" s="85">
        <v>11100105</v>
      </c>
      <c r="D32" s="47" t="s">
        <v>505</v>
      </c>
      <c r="E32" s="48">
        <f>+IF(C32="",0,VLOOKUP(C32,'AVERAGE COST'!$B$3:$E$995,4))</f>
        <v>0</v>
      </c>
      <c r="F32" s="47" t="s">
        <v>88</v>
      </c>
      <c r="G32" s="43">
        <v>111001</v>
      </c>
      <c r="H32" s="47" t="s">
        <v>81</v>
      </c>
      <c r="I32" s="155"/>
      <c r="J32" s="155"/>
      <c r="K32" s="48">
        <f>+IF($M$4="N/A",0,'INITIAL DATA'!C24)</f>
        <v>0</v>
      </c>
      <c r="L32" s="48">
        <v>0</v>
      </c>
      <c r="M32" s="237">
        <f>+IF($M$4="N/A",0,0)</f>
        <v>0</v>
      </c>
      <c r="N32" s="237">
        <f>+IF($N$4="N/A",0,0)</f>
        <v>0</v>
      </c>
      <c r="O32" s="237">
        <f>+IF($O$4="N/A",0,0)</f>
        <v>0</v>
      </c>
      <c r="P32" s="237">
        <f>+IF($P$4="N/A",0,0)</f>
        <v>0</v>
      </c>
      <c r="Q32" s="237">
        <f>+IF($Q$4="N/A",0,0)</f>
        <v>0</v>
      </c>
      <c r="R32" s="48">
        <f>+IF($M$4="N/A",0,0)</f>
        <v>0</v>
      </c>
      <c r="S32" s="48"/>
      <c r="T32" s="48">
        <f>SUM(K32:R32)</f>
        <v>0</v>
      </c>
    </row>
    <row r="33" spans="1:20" ht="25.5" x14ac:dyDescent="0.2">
      <c r="B33" s="43">
        <v>2</v>
      </c>
      <c r="C33" s="85">
        <v>11100106</v>
      </c>
      <c r="D33" s="47" t="s">
        <v>505</v>
      </c>
      <c r="E33" s="48">
        <f>+IF(C33="",0,VLOOKUP(C33,'AVERAGE COST'!$B$3:$E$995,4))</f>
        <v>0</v>
      </c>
      <c r="F33" s="47" t="s">
        <v>89</v>
      </c>
      <c r="G33" s="43">
        <v>111001</v>
      </c>
      <c r="H33" s="47" t="s">
        <v>81</v>
      </c>
      <c r="I33" s="155"/>
      <c r="J33" s="155"/>
      <c r="K33" s="48">
        <f>+IF($M$4="N/A",0,'INITIAL DATA'!C25)</f>
        <v>0</v>
      </c>
      <c r="L33" s="48">
        <v>0</v>
      </c>
      <c r="M33" s="237">
        <f t="shared" ref="M33" si="19">+IF($M$4="N/A",0,0)</f>
        <v>0</v>
      </c>
      <c r="N33" s="237">
        <f t="shared" ref="N33" si="20">+IF($N$4="N/A",0,0)</f>
        <v>0</v>
      </c>
      <c r="O33" s="237">
        <f t="shared" ref="O33" si="21">+IF($O$4="N/A",0,0)</f>
        <v>0</v>
      </c>
      <c r="P33" s="237">
        <f t="shared" ref="P33" si="22">+IF($P$4="N/A",0,0)</f>
        <v>0</v>
      </c>
      <c r="Q33" s="237">
        <f t="shared" ref="Q33" si="23">+IF($Q$4="N/A",0,0)</f>
        <v>0</v>
      </c>
      <c r="R33" s="48">
        <f t="shared" ref="R33" si="24">+IF($M$4="N/A",0,0)</f>
        <v>0</v>
      </c>
      <c r="S33" s="48"/>
      <c r="T33" s="48">
        <f t="shared" ref="T33:T36" si="25">SUM(K33:R33)</f>
        <v>0</v>
      </c>
    </row>
    <row r="34" spans="1:20" ht="25.5" x14ac:dyDescent="0.2">
      <c r="B34" s="43">
        <v>3</v>
      </c>
      <c r="C34" s="155"/>
      <c r="D34" s="265"/>
      <c r="E34" s="266"/>
      <c r="F34" s="265"/>
      <c r="G34" s="43">
        <v>111001</v>
      </c>
      <c r="H34" s="47" t="s">
        <v>81</v>
      </c>
      <c r="I34" s="155"/>
      <c r="J34" s="155"/>
      <c r="K34" s="266"/>
      <c r="L34" s="269">
        <v>0</v>
      </c>
      <c r="M34" s="269">
        <v>0</v>
      </c>
      <c r="N34" s="269">
        <v>0</v>
      </c>
      <c r="O34" s="269">
        <v>0</v>
      </c>
      <c r="P34" s="269">
        <v>0</v>
      </c>
      <c r="Q34" s="269">
        <v>0</v>
      </c>
      <c r="R34" s="269">
        <v>0</v>
      </c>
      <c r="S34" s="269">
        <v>0</v>
      </c>
      <c r="T34" s="48">
        <f t="shared" si="25"/>
        <v>0</v>
      </c>
    </row>
    <row r="35" spans="1:20" ht="25.5" x14ac:dyDescent="0.2">
      <c r="B35" s="43">
        <v>4</v>
      </c>
      <c r="C35" s="155"/>
      <c r="D35" s="265"/>
      <c r="E35" s="266"/>
      <c r="F35" s="268"/>
      <c r="G35" s="43">
        <v>111001</v>
      </c>
      <c r="H35" s="47" t="s">
        <v>81</v>
      </c>
      <c r="I35" s="155"/>
      <c r="J35" s="155"/>
      <c r="K35" s="266"/>
      <c r="L35" s="269">
        <v>0</v>
      </c>
      <c r="M35" s="269">
        <v>0</v>
      </c>
      <c r="N35" s="269">
        <v>0</v>
      </c>
      <c r="O35" s="269">
        <v>0</v>
      </c>
      <c r="P35" s="269">
        <v>0</v>
      </c>
      <c r="Q35" s="269">
        <v>0</v>
      </c>
      <c r="R35" s="269">
        <v>0</v>
      </c>
      <c r="S35" s="269">
        <v>0</v>
      </c>
      <c r="T35" s="48">
        <f t="shared" si="25"/>
        <v>0</v>
      </c>
    </row>
    <row r="36" spans="1:20" ht="25.5" x14ac:dyDescent="0.2">
      <c r="B36" s="43">
        <v>5</v>
      </c>
      <c r="C36" s="155"/>
      <c r="D36" s="265"/>
      <c r="E36" s="266"/>
      <c r="F36" s="268"/>
      <c r="G36" s="43">
        <v>111001</v>
      </c>
      <c r="H36" s="47" t="s">
        <v>81</v>
      </c>
      <c r="I36" s="155"/>
      <c r="J36" s="155"/>
      <c r="K36" s="266"/>
      <c r="L36" s="269">
        <v>0</v>
      </c>
      <c r="M36" s="269">
        <v>0</v>
      </c>
      <c r="N36" s="269">
        <v>0</v>
      </c>
      <c r="O36" s="269">
        <v>0</v>
      </c>
      <c r="P36" s="269">
        <v>0</v>
      </c>
      <c r="Q36" s="269">
        <v>0</v>
      </c>
      <c r="R36" s="269">
        <v>0</v>
      </c>
      <c r="S36" s="269">
        <v>0</v>
      </c>
      <c r="T36" s="48">
        <f t="shared" si="25"/>
        <v>0</v>
      </c>
    </row>
    <row r="37" spans="1:20" s="12" customFormat="1" x14ac:dyDescent="0.2">
      <c r="A37" s="28"/>
      <c r="B37" s="66" t="s">
        <v>32</v>
      </c>
      <c r="C37" s="67"/>
      <c r="D37" s="68"/>
      <c r="E37" s="92" t="s">
        <v>90</v>
      </c>
      <c r="F37" s="68"/>
      <c r="G37" s="67"/>
      <c r="H37" s="68"/>
      <c r="I37" s="69"/>
      <c r="J37" s="69"/>
      <c r="K37" s="49">
        <f>SUM(K32:K36)</f>
        <v>0</v>
      </c>
      <c r="L37" s="49">
        <f t="shared" ref="L37:T37" si="26">SUM(L32:L36)</f>
        <v>0</v>
      </c>
      <c r="M37" s="238">
        <f t="shared" si="26"/>
        <v>0</v>
      </c>
      <c r="N37" s="238">
        <f t="shared" si="26"/>
        <v>0</v>
      </c>
      <c r="O37" s="238">
        <f t="shared" si="26"/>
        <v>0</v>
      </c>
      <c r="P37" s="238">
        <f t="shared" si="26"/>
        <v>0</v>
      </c>
      <c r="Q37" s="238">
        <f t="shared" si="26"/>
        <v>0</v>
      </c>
      <c r="R37" s="49">
        <f t="shared" si="26"/>
        <v>0</v>
      </c>
      <c r="S37" s="49"/>
      <c r="T37" s="49">
        <f t="shared" si="26"/>
        <v>0</v>
      </c>
    </row>
    <row r="38" spans="1:20" s="12" customFormat="1" x14ac:dyDescent="0.2">
      <c r="A38" s="28"/>
      <c r="B38" s="55" t="s">
        <v>79</v>
      </c>
      <c r="C38" s="56"/>
      <c r="D38" s="57"/>
      <c r="E38" s="82" t="s">
        <v>107</v>
      </c>
      <c r="F38" s="102"/>
      <c r="G38" s="58"/>
      <c r="H38" s="100"/>
      <c r="I38" s="58"/>
      <c r="J38" s="58"/>
      <c r="K38" s="50">
        <f>+K30+K37</f>
        <v>0</v>
      </c>
      <c r="L38" s="50">
        <f t="shared" ref="L38:T38" si="27">+L30+L37</f>
        <v>0</v>
      </c>
      <c r="M38" s="239">
        <f t="shared" si="27"/>
        <v>0</v>
      </c>
      <c r="N38" s="239">
        <f t="shared" si="27"/>
        <v>0</v>
      </c>
      <c r="O38" s="239">
        <f t="shared" si="27"/>
        <v>0</v>
      </c>
      <c r="P38" s="239">
        <f t="shared" si="27"/>
        <v>0</v>
      </c>
      <c r="Q38" s="239">
        <f t="shared" si="27"/>
        <v>0</v>
      </c>
      <c r="R38" s="50">
        <f t="shared" si="27"/>
        <v>0</v>
      </c>
      <c r="S38" s="50"/>
      <c r="T38" s="50">
        <f t="shared" si="27"/>
        <v>0</v>
      </c>
    </row>
    <row r="39" spans="1:20" x14ac:dyDescent="0.2">
      <c r="F39" s="103"/>
      <c r="K39" s="29"/>
      <c r="L39" s="29"/>
      <c r="M39" s="240"/>
      <c r="N39" s="240"/>
      <c r="O39" s="240"/>
      <c r="P39" s="240"/>
      <c r="Q39" s="240"/>
      <c r="R39" s="29"/>
      <c r="S39" s="29"/>
      <c r="T39" s="29"/>
    </row>
    <row r="40" spans="1:20" s="12" customFormat="1" x14ac:dyDescent="0.2">
      <c r="A40" s="28"/>
      <c r="B40" s="72" t="s">
        <v>91</v>
      </c>
      <c r="C40" s="73"/>
      <c r="D40" s="74"/>
      <c r="E40" s="93" t="s">
        <v>585</v>
      </c>
      <c r="F40" s="104"/>
      <c r="G40" s="73"/>
      <c r="H40" s="74"/>
      <c r="I40" s="73"/>
      <c r="J40" s="73"/>
      <c r="K40" s="75"/>
      <c r="L40" s="75"/>
      <c r="M40" s="241"/>
      <c r="N40" s="241"/>
      <c r="O40" s="241"/>
      <c r="P40" s="241"/>
      <c r="Q40" s="241"/>
      <c r="R40" s="75"/>
      <c r="S40" s="75"/>
      <c r="T40" s="76"/>
    </row>
    <row r="41" spans="1:20" s="12" customFormat="1" x14ac:dyDescent="0.2">
      <c r="A41" s="28"/>
      <c r="B41" s="51" t="s">
        <v>93</v>
      </c>
      <c r="C41" s="52"/>
      <c r="D41" s="53"/>
      <c r="E41" s="91" t="s">
        <v>92</v>
      </c>
      <c r="F41" s="105"/>
      <c r="G41" s="52"/>
      <c r="H41" s="53"/>
      <c r="I41" s="54"/>
      <c r="J41" s="54"/>
      <c r="K41" s="64"/>
      <c r="L41" s="64"/>
      <c r="M41" s="236"/>
      <c r="N41" s="236"/>
      <c r="O41" s="236"/>
      <c r="P41" s="236"/>
      <c r="Q41" s="236"/>
      <c r="R41" s="64"/>
      <c r="S41" s="64"/>
      <c r="T41" s="65"/>
    </row>
    <row r="42" spans="1:20" x14ac:dyDescent="0.2">
      <c r="B42" s="43">
        <v>1</v>
      </c>
      <c r="C42" s="85">
        <v>11000101</v>
      </c>
      <c r="D42" s="47" t="str">
        <f>+IF(G42="","",VLOOKUP('AFE DETAILED'!C42,'AVERAGE COST'!$B:$D,3,0))</f>
        <v>DAY</v>
      </c>
      <c r="E42" s="48">
        <f>+IF(C42="",0,VLOOKUP(C42,'AVERAGE COST'!$B$3:$E$995,4))</f>
        <v>0</v>
      </c>
      <c r="F42" s="47" t="s">
        <v>94</v>
      </c>
      <c r="G42" s="43">
        <v>110001</v>
      </c>
      <c r="H42" s="47" t="s">
        <v>92</v>
      </c>
      <c r="I42" s="155"/>
      <c r="J42" s="155"/>
      <c r="K42" s="48">
        <v>0</v>
      </c>
      <c r="L42" s="48">
        <v>0</v>
      </c>
      <c r="M42" s="237">
        <f>+IF(M4="N/A",0,$E$42*(M8+M9))</f>
        <v>0</v>
      </c>
      <c r="N42" s="237">
        <f t="shared" ref="N42:R42" si="28">+IF(N4="N/A",0,$E$42*(N8+N9))</f>
        <v>0</v>
      </c>
      <c r="O42" s="237">
        <f t="shared" si="28"/>
        <v>0</v>
      </c>
      <c r="P42" s="237">
        <f t="shared" si="28"/>
        <v>0</v>
      </c>
      <c r="Q42" s="237">
        <f t="shared" si="28"/>
        <v>0</v>
      </c>
      <c r="R42" s="48">
        <f t="shared" si="28"/>
        <v>0</v>
      </c>
      <c r="S42" s="48"/>
      <c r="T42" s="48">
        <f>SUM(K42:R42)</f>
        <v>0</v>
      </c>
    </row>
    <row r="43" spans="1:20" x14ac:dyDescent="0.2">
      <c r="B43" s="43">
        <v>2</v>
      </c>
      <c r="C43" s="85">
        <v>11000102</v>
      </c>
      <c r="D43" s="47" t="str">
        <f>+IF(G43="","",VLOOKUP('AFE DETAILED'!C43,'AVERAGE COST'!$B:$D,3,0))</f>
        <v>DAY</v>
      </c>
      <c r="E43" s="48">
        <f>+IF(C43="",0,VLOOKUP(C43,'AVERAGE COST'!$B$3:$E$995,4))</f>
        <v>0</v>
      </c>
      <c r="F43" s="47" t="s">
        <v>95</v>
      </c>
      <c r="G43" s="43">
        <v>110001</v>
      </c>
      <c r="H43" s="47" t="s">
        <v>92</v>
      </c>
      <c r="I43" s="155"/>
      <c r="J43" s="155"/>
      <c r="K43" s="48">
        <v>0</v>
      </c>
      <c r="L43" s="48">
        <v>0</v>
      </c>
      <c r="M43" s="237">
        <f>+IF(M4="N/A",0,$E$43*'INITIAL DATA'!C31)</f>
        <v>0</v>
      </c>
      <c r="N43" s="237">
        <f>+IF(N4="N/A",0,$E$43*'INITIAL DATA'!D31)</f>
        <v>0</v>
      </c>
      <c r="O43" s="237">
        <f>+IF(O4="N/A",0,$E$43*'INITIAL DATA'!E31)</f>
        <v>0</v>
      </c>
      <c r="P43" s="237">
        <f>+IF(P4="N/A",0,$E$43*'INITIAL DATA'!F31)</f>
        <v>0</v>
      </c>
      <c r="Q43" s="237">
        <f>+IF(Q4="N/A",0,$E$43*'INITIAL DATA'!G31)</f>
        <v>0</v>
      </c>
      <c r="R43" s="48">
        <f>+IF(R4="N/A",0,$E$43*'INITIAL DATA'!H31)</f>
        <v>0</v>
      </c>
      <c r="S43" s="48"/>
      <c r="T43" s="48">
        <f t="shared" ref="T43:T51" si="29">SUM(K43:R43)</f>
        <v>0</v>
      </c>
    </row>
    <row r="44" spans="1:20" x14ac:dyDescent="0.2">
      <c r="B44" s="43">
        <v>3</v>
      </c>
      <c r="C44" s="85">
        <v>11000103</v>
      </c>
      <c r="D44" s="47" t="str">
        <f>+IF(G44="","",VLOOKUP('AFE DETAILED'!C44,'AVERAGE COST'!$B:$D,3,0))</f>
        <v>DAY</v>
      </c>
      <c r="E44" s="48">
        <f>+IF(C44="",0,VLOOKUP(C44,'AVERAGE COST'!$B$3:$E$995,4))</f>
        <v>0</v>
      </c>
      <c r="F44" s="47" t="s">
        <v>464</v>
      </c>
      <c r="G44" s="43">
        <v>110001</v>
      </c>
      <c r="H44" s="47" t="s">
        <v>92</v>
      </c>
      <c r="I44" s="155"/>
      <c r="J44" s="155"/>
      <c r="K44" s="48">
        <v>0</v>
      </c>
      <c r="L44" s="48">
        <v>0</v>
      </c>
      <c r="M44" s="237">
        <f>+IF(M4="N/A",0,$E$44*'INITIAL DATA'!C29)</f>
        <v>0</v>
      </c>
      <c r="N44" s="237">
        <f>+IF(N4="N/A",0,$E$44*'INITIAL DATA'!D29)</f>
        <v>0</v>
      </c>
      <c r="O44" s="237">
        <f>+IF(O4="N/A",0,$E$44*'INITIAL DATA'!E29)</f>
        <v>0</v>
      </c>
      <c r="P44" s="237">
        <f>+IF(P4="N/A",0,$E$44*'INITIAL DATA'!F29)</f>
        <v>0</v>
      </c>
      <c r="Q44" s="237">
        <f>+IF(Q4="N/A",0,$E$44*'INITIAL DATA'!G29)</f>
        <v>0</v>
      </c>
      <c r="R44" s="48">
        <f>+IF(R4="N/A",0,$E$44*'INITIAL DATA'!H29)</f>
        <v>0</v>
      </c>
      <c r="S44" s="48"/>
      <c r="T44" s="48">
        <f t="shared" si="29"/>
        <v>0</v>
      </c>
    </row>
    <row r="45" spans="1:20" x14ac:dyDescent="0.2">
      <c r="B45" s="43">
        <v>4</v>
      </c>
      <c r="C45" s="85">
        <v>11000104</v>
      </c>
      <c r="D45" s="47" t="str">
        <f>+IF(G45="","",VLOOKUP('AFE DETAILED'!C45,'AVERAGE COST'!$B:$D,3,0))</f>
        <v>DAY</v>
      </c>
      <c r="E45" s="48">
        <f>+IF(C45="",0,VLOOKUP(C45,'AVERAGE COST'!$B$3:$E$995,4))</f>
        <v>0</v>
      </c>
      <c r="F45" s="47" t="s">
        <v>465</v>
      </c>
      <c r="G45" s="43">
        <v>110001</v>
      </c>
      <c r="H45" s="47" t="s">
        <v>92</v>
      </c>
      <c r="I45" s="155"/>
      <c r="J45" s="155"/>
      <c r="K45" s="48">
        <v>0</v>
      </c>
      <c r="L45" s="48">
        <v>0</v>
      </c>
      <c r="M45" s="237">
        <f>+IF(M4="N/A",0,$E$45*'INITIAL DATA'!C30)</f>
        <v>0</v>
      </c>
      <c r="N45" s="237">
        <f>+IF(N4="N/A",0,$E$45*'INITIAL DATA'!D30)</f>
        <v>0</v>
      </c>
      <c r="O45" s="237">
        <f>+IF(O4="N/A",0,$E$45*'INITIAL DATA'!E30)</f>
        <v>0</v>
      </c>
      <c r="P45" s="237">
        <f>+IF(P4="N/A",0,$E$45*'INITIAL DATA'!F30)</f>
        <v>0</v>
      </c>
      <c r="Q45" s="237">
        <f>+IF(Q4="N/A",0,$E$45*'INITIAL DATA'!G30)</f>
        <v>0</v>
      </c>
      <c r="R45" s="48">
        <f>+IF(R4="N/A",0,$E$45*'INITIAL DATA'!H30)</f>
        <v>0</v>
      </c>
      <c r="S45" s="48"/>
      <c r="T45" s="48">
        <f t="shared" si="29"/>
        <v>0</v>
      </c>
    </row>
    <row r="46" spans="1:20" x14ac:dyDescent="0.2">
      <c r="B46" s="43">
        <v>5</v>
      </c>
      <c r="C46" s="85">
        <v>11000105</v>
      </c>
      <c r="D46" s="47" t="str">
        <f>+IF(G46="","",VLOOKUP('AFE DETAILED'!C46,'AVERAGE COST'!$B:$D,3,0))</f>
        <v>UNIT</v>
      </c>
      <c r="E46" s="48">
        <f>+IF(C46="",0,VLOOKUP(C46,'AVERAGE COST'!$B$3:$E$995,4))</f>
        <v>0</v>
      </c>
      <c r="F46" s="47" t="s">
        <v>96</v>
      </c>
      <c r="G46" s="43">
        <v>110001</v>
      </c>
      <c r="H46" s="47" t="s">
        <v>92</v>
      </c>
      <c r="I46" s="155"/>
      <c r="J46" s="155"/>
      <c r="K46" s="48">
        <v>0</v>
      </c>
      <c r="L46" s="48">
        <v>0</v>
      </c>
      <c r="M46" s="237">
        <f>+IF(M4="N/A",0,'INITIAL DATA'!C32)</f>
        <v>0</v>
      </c>
      <c r="N46" s="237">
        <f>+IF(N4="N/A",0,'INITIAL DATA'!D32)</f>
        <v>0</v>
      </c>
      <c r="O46" s="237">
        <f>+IF(O4="N/A",0,'INITIAL DATA'!E32)</f>
        <v>0</v>
      </c>
      <c r="P46" s="237">
        <f>+IF(P4="N/A",0,'INITIAL DATA'!F32)</f>
        <v>0</v>
      </c>
      <c r="Q46" s="237">
        <f>+IF(Q4="N/A",0,'INITIAL DATA'!G32)</f>
        <v>0</v>
      </c>
      <c r="R46" s="48">
        <f>+IF(R4="N/A",0,'INITIAL DATA'!H32)</f>
        <v>0</v>
      </c>
      <c r="S46" s="48"/>
      <c r="T46" s="48">
        <f t="shared" si="29"/>
        <v>0</v>
      </c>
    </row>
    <row r="47" spans="1:20" x14ac:dyDescent="0.2">
      <c r="B47" s="43">
        <v>6</v>
      </c>
      <c r="C47" s="85">
        <v>11000106</v>
      </c>
      <c r="D47" s="47" t="str">
        <f>+IF(G47="","",VLOOKUP('AFE DETAILED'!C47,'AVERAGE COST'!$B:$D,3,0))</f>
        <v>DAY</v>
      </c>
      <c r="E47" s="48">
        <f>+IF(C47="",0,VLOOKUP(C47,'AVERAGE COST'!$B$3:$E$995,4))</f>
        <v>0</v>
      </c>
      <c r="F47" s="47" t="s">
        <v>97</v>
      </c>
      <c r="G47" s="43">
        <v>110001</v>
      </c>
      <c r="H47" s="47" t="s">
        <v>92</v>
      </c>
      <c r="I47" s="155"/>
      <c r="J47" s="155"/>
      <c r="K47" s="48">
        <v>0</v>
      </c>
      <c r="L47" s="48">
        <v>0</v>
      </c>
      <c r="M47" s="237">
        <f>+IF(M4="N/A",0,3*$E$47*(M8+M9+'INITIAL DATA'!C29))</f>
        <v>0</v>
      </c>
      <c r="N47" s="237">
        <f>+IF(N4="N/A",0,3*$E$47*(N8+N9+'INITIAL DATA'!D29))</f>
        <v>0</v>
      </c>
      <c r="O47" s="237">
        <f>+IF(O4="N/A",0,3*$E$47*(O8+O9+'INITIAL DATA'!E29))</f>
        <v>0</v>
      </c>
      <c r="P47" s="237">
        <f>+IF(P4="N/A",0,3*$E$47*(P8+P9+'INITIAL DATA'!F29))</f>
        <v>0</v>
      </c>
      <c r="Q47" s="237">
        <f>+IF(Q4="N/A",0,3*$E$47*(Q8+Q9+'INITIAL DATA'!G29))</f>
        <v>0</v>
      </c>
      <c r="R47" s="48">
        <f>+IF(R4="N/A",0,3*$E$47*(R8+R9+'INITIAL DATA'!H29))</f>
        <v>0</v>
      </c>
      <c r="S47" s="48"/>
      <c r="T47" s="48">
        <f t="shared" si="29"/>
        <v>0</v>
      </c>
    </row>
    <row r="48" spans="1:20" x14ac:dyDescent="0.2">
      <c r="B48" s="43">
        <v>7</v>
      </c>
      <c r="C48" s="85">
        <v>11000107</v>
      </c>
      <c r="D48" s="47" t="str">
        <f>+IF(G48="","",VLOOKUP('AFE DETAILED'!C48,'AVERAGE COST'!$B:$D,3,0))</f>
        <v>GLOBAL</v>
      </c>
      <c r="E48" s="48">
        <f>+IF(C48="",0,VLOOKUP(C48,'AVERAGE COST'!$B$3:$E$995,4))</f>
        <v>0</v>
      </c>
      <c r="F48" s="47" t="s">
        <v>98</v>
      </c>
      <c r="G48" s="43">
        <v>110001</v>
      </c>
      <c r="H48" s="47" t="s">
        <v>92</v>
      </c>
      <c r="I48" s="155"/>
      <c r="J48" s="155"/>
      <c r="K48" s="48">
        <v>0</v>
      </c>
      <c r="L48" s="48">
        <v>0</v>
      </c>
      <c r="M48" s="237">
        <f>+IF(M4="N/A",0,'INITIAL DATA'!C34)</f>
        <v>0</v>
      </c>
      <c r="N48" s="237">
        <f>+IF(N4="N/A",0,'INITIAL DATA'!D34)</f>
        <v>0</v>
      </c>
      <c r="O48" s="237">
        <f>+IF(O4="N/A",0,'INITIAL DATA'!E34)</f>
        <v>0</v>
      </c>
      <c r="P48" s="237">
        <f>+IF(P4="N/A",0,'INITIAL DATA'!F34)</f>
        <v>0</v>
      </c>
      <c r="Q48" s="237">
        <f>+IF(Q4="N/A",0,'INITIAL DATA'!G34)</f>
        <v>0</v>
      </c>
      <c r="R48" s="48">
        <f>+IF(R4="N/A",0,'INITIAL DATA'!H34)</f>
        <v>0</v>
      </c>
      <c r="S48" s="48"/>
      <c r="T48" s="48">
        <f t="shared" si="29"/>
        <v>0</v>
      </c>
    </row>
    <row r="49" spans="1:20" s="27" customFormat="1" x14ac:dyDescent="0.2">
      <c r="A49" s="28"/>
      <c r="B49" s="43">
        <v>8</v>
      </c>
      <c r="C49" s="85">
        <v>11000108</v>
      </c>
      <c r="D49" s="47" t="str">
        <f>+IF(G49="","",VLOOKUP('AFE DETAILED'!C49,'AVERAGE COST'!$B:$D,3,0))</f>
        <v>DAY</v>
      </c>
      <c r="E49" s="48">
        <f>+IF(C49="",0,VLOOKUP(C49,'AVERAGE COST'!$B$3:$E$995,4))</f>
        <v>0</v>
      </c>
      <c r="F49" s="47" t="s">
        <v>99</v>
      </c>
      <c r="G49" s="43">
        <v>110001</v>
      </c>
      <c r="H49" s="47" t="s">
        <v>92</v>
      </c>
      <c r="I49" s="155"/>
      <c r="J49" s="155"/>
      <c r="K49" s="48">
        <v>0</v>
      </c>
      <c r="L49" s="48">
        <v>0</v>
      </c>
      <c r="M49" s="237">
        <v>0</v>
      </c>
      <c r="N49" s="237">
        <v>0</v>
      </c>
      <c r="O49" s="237">
        <v>0</v>
      </c>
      <c r="P49" s="237">
        <v>0</v>
      </c>
      <c r="Q49" s="237">
        <v>0</v>
      </c>
      <c r="R49" s="48">
        <v>0</v>
      </c>
      <c r="S49" s="48"/>
      <c r="T49" s="48">
        <f t="shared" si="29"/>
        <v>0</v>
      </c>
    </row>
    <row r="50" spans="1:20" s="27" customFormat="1" x14ac:dyDescent="0.2">
      <c r="A50" s="28"/>
      <c r="B50" s="43">
        <v>9</v>
      </c>
      <c r="C50" s="85">
        <v>11000109</v>
      </c>
      <c r="D50" s="47" t="str">
        <f>+IF(G50="","",VLOOKUP('AFE DETAILED'!C50,'AVERAGE COST'!$B:$D,3,0))</f>
        <v>DAY</v>
      </c>
      <c r="E50" s="48">
        <f>+IF(C50="",0,VLOOKUP(C50,'AVERAGE COST'!$B$3:$E$995,4))</f>
        <v>0</v>
      </c>
      <c r="F50" s="47" t="s">
        <v>466</v>
      </c>
      <c r="G50" s="43">
        <v>110001</v>
      </c>
      <c r="H50" s="47" t="s">
        <v>92</v>
      </c>
      <c r="I50" s="155"/>
      <c r="J50" s="155"/>
      <c r="K50" s="48">
        <v>0</v>
      </c>
      <c r="L50" s="48">
        <v>0</v>
      </c>
      <c r="M50" s="237">
        <f>+IF(M4="N/A",0,$E$50*(M8+M9+'INITIAL DATA'!C29))</f>
        <v>0</v>
      </c>
      <c r="N50" s="237">
        <f>+IF(N4="N/A",0,$E$50*(N8+N9+'INITIAL DATA'!D29))</f>
        <v>0</v>
      </c>
      <c r="O50" s="237">
        <f>+IF(O4="N/A",0,$E$50*(O8+O9+'INITIAL DATA'!E29))</f>
        <v>0</v>
      </c>
      <c r="P50" s="237">
        <f>+IF(P4="N/A",0,$E$50*(P8+P9+'INITIAL DATA'!F29))</f>
        <v>0</v>
      </c>
      <c r="Q50" s="237">
        <f>+IF(Q4="N/A",0,$E$50*(Q8+Q9+'INITIAL DATA'!G29))</f>
        <v>0</v>
      </c>
      <c r="R50" s="48">
        <f>+IF(R4="N/A",0,$E$50*(R8+R9+'INITIAL DATA'!H29))</f>
        <v>0</v>
      </c>
      <c r="S50" s="48"/>
      <c r="T50" s="48">
        <f t="shared" si="29"/>
        <v>0</v>
      </c>
    </row>
    <row r="51" spans="1:20" s="27" customFormat="1" x14ac:dyDescent="0.2">
      <c r="A51" s="28"/>
      <c r="B51" s="43">
        <v>10</v>
      </c>
      <c r="C51" s="155"/>
      <c r="D51" s="265"/>
      <c r="E51" s="266"/>
      <c r="F51" s="268"/>
      <c r="G51" s="43">
        <v>110001</v>
      </c>
      <c r="H51" s="47" t="s">
        <v>92</v>
      </c>
      <c r="I51" s="155"/>
      <c r="J51" s="155"/>
      <c r="K51" s="269">
        <v>0</v>
      </c>
      <c r="L51" s="269">
        <v>0</v>
      </c>
      <c r="M51" s="267"/>
      <c r="N51" s="267"/>
      <c r="O51" s="267"/>
      <c r="P51" s="267"/>
      <c r="Q51" s="267"/>
      <c r="R51" s="266"/>
      <c r="S51" s="266"/>
      <c r="T51" s="48">
        <f t="shared" si="29"/>
        <v>0</v>
      </c>
    </row>
    <row r="52" spans="1:20" s="12" customFormat="1" x14ac:dyDescent="0.2">
      <c r="A52" s="28"/>
      <c r="B52" s="66" t="s">
        <v>32</v>
      </c>
      <c r="C52" s="67"/>
      <c r="D52" s="68"/>
      <c r="E52" s="92" t="s">
        <v>100</v>
      </c>
      <c r="F52" s="106"/>
      <c r="G52" s="67"/>
      <c r="H52" s="68"/>
      <c r="I52" s="69"/>
      <c r="J52" s="69"/>
      <c r="K52" s="49">
        <f>SUM(K42:K51)</f>
        <v>0</v>
      </c>
      <c r="L52" s="49">
        <f t="shared" ref="L52:T52" si="30">SUM(L42:L51)</f>
        <v>0</v>
      </c>
      <c r="M52" s="238">
        <f t="shared" si="30"/>
        <v>0</v>
      </c>
      <c r="N52" s="238">
        <f t="shared" si="30"/>
        <v>0</v>
      </c>
      <c r="O52" s="238">
        <f t="shared" si="30"/>
        <v>0</v>
      </c>
      <c r="P52" s="238">
        <f t="shared" si="30"/>
        <v>0</v>
      </c>
      <c r="Q52" s="238">
        <f t="shared" si="30"/>
        <v>0</v>
      </c>
      <c r="R52" s="49">
        <f t="shared" si="30"/>
        <v>0</v>
      </c>
      <c r="S52" s="49"/>
      <c r="T52" s="49">
        <f t="shared" si="30"/>
        <v>0</v>
      </c>
    </row>
    <row r="53" spans="1:20" s="12" customFormat="1" x14ac:dyDescent="0.2">
      <c r="A53" s="28"/>
      <c r="B53" s="51" t="s">
        <v>102</v>
      </c>
      <c r="C53" s="52"/>
      <c r="D53" s="53"/>
      <c r="E53" s="91" t="s">
        <v>101</v>
      </c>
      <c r="F53" s="105"/>
      <c r="G53" s="52"/>
      <c r="H53" s="53"/>
      <c r="I53" s="54"/>
      <c r="J53" s="54"/>
      <c r="K53" s="64"/>
      <c r="L53" s="64"/>
      <c r="M53" s="236"/>
      <c r="N53" s="236"/>
      <c r="O53" s="236"/>
      <c r="P53" s="236"/>
      <c r="Q53" s="236"/>
      <c r="R53" s="64"/>
      <c r="S53" s="64"/>
      <c r="T53" s="65"/>
    </row>
    <row r="54" spans="1:20" ht="25.5" x14ac:dyDescent="0.2">
      <c r="B54" s="43">
        <v>1</v>
      </c>
      <c r="C54" s="85">
        <v>11000201</v>
      </c>
      <c r="D54" s="47" t="str">
        <f>+IF(G54="","",VLOOKUP('AFE DETAILED'!C54,'AVERAGE COST'!$B:$D,3,0))</f>
        <v>UNIT</v>
      </c>
      <c r="E54" s="48">
        <f>+IF(C54="",0,VLOOKUP(C54,'AVERAGE COST'!$B$3:$E$995,4))</f>
        <v>0</v>
      </c>
      <c r="F54" s="47" t="s">
        <v>509</v>
      </c>
      <c r="G54" s="43">
        <v>110002</v>
      </c>
      <c r="H54" s="47" t="s">
        <v>101</v>
      </c>
      <c r="I54" s="155"/>
      <c r="J54" s="155"/>
      <c r="K54" s="48">
        <v>0</v>
      </c>
      <c r="L54" s="48">
        <v>0</v>
      </c>
      <c r="M54" s="237">
        <f>+IF(M4="N/A",0,$E$54*(3+'INITIAL DATA'!C33)*('AFE DETAILED'!M8+'AFE DETAILED'!M9+'INITIAL DATA'!C29))</f>
        <v>0</v>
      </c>
      <c r="N54" s="237">
        <f>+IF(N4="N/A",0,$E$54*(3+'INITIAL DATA'!D33)*('AFE DETAILED'!N8+'AFE DETAILED'!N9+'INITIAL DATA'!D29))</f>
        <v>0</v>
      </c>
      <c r="O54" s="237">
        <f>+IF(O4="N/A",0,$E$54*(3+'INITIAL DATA'!E33)*('AFE DETAILED'!O8+'AFE DETAILED'!O9+'INITIAL DATA'!E29))</f>
        <v>0</v>
      </c>
      <c r="P54" s="237">
        <f>+IF(P4="N/A",0,$E$54*(3+'INITIAL DATA'!F33)*('AFE DETAILED'!P8+'AFE DETAILED'!P9+'INITIAL DATA'!F29))</f>
        <v>0</v>
      </c>
      <c r="Q54" s="237">
        <f>+IF(Q4="N/A",0,$E$54*(3+'INITIAL DATA'!G33)*('AFE DETAILED'!Q8+'AFE DETAILED'!Q9+'INITIAL DATA'!G29))</f>
        <v>0</v>
      </c>
      <c r="R54" s="48">
        <f>+IF(R4="N/A",0,$E$54*(3+'INITIAL DATA'!H33)*('AFE DETAILED'!R8+'AFE DETAILED'!R9+'INITIAL DATA'!H29))</f>
        <v>0</v>
      </c>
      <c r="S54" s="48"/>
      <c r="T54" s="48">
        <f>SUM(K54:R54)</f>
        <v>0</v>
      </c>
    </row>
    <row r="55" spans="1:20" ht="25.5" x14ac:dyDescent="0.2">
      <c r="B55" s="43">
        <v>2</v>
      </c>
      <c r="C55" s="85">
        <v>11000202</v>
      </c>
      <c r="D55" s="47" t="str">
        <f>+IF(G55="","",VLOOKUP('AFE DETAILED'!C55,'AVERAGE COST'!$B:$D,3,0))</f>
        <v>GLOBAL</v>
      </c>
      <c r="E55" s="48">
        <f>+IF(C55="",0,VLOOKUP(C55,'AVERAGE COST'!$B$3:$E$995,4))</f>
        <v>0</v>
      </c>
      <c r="F55" s="47" t="s">
        <v>98</v>
      </c>
      <c r="G55" s="43">
        <v>110002</v>
      </c>
      <c r="H55" s="47" t="s">
        <v>101</v>
      </c>
      <c r="I55" s="155"/>
      <c r="J55" s="155"/>
      <c r="K55" s="48">
        <v>0</v>
      </c>
      <c r="L55" s="48">
        <v>0</v>
      </c>
      <c r="M55" s="237">
        <v>0</v>
      </c>
      <c r="N55" s="237">
        <v>0</v>
      </c>
      <c r="O55" s="237">
        <v>0</v>
      </c>
      <c r="P55" s="237">
        <v>0</v>
      </c>
      <c r="Q55" s="237">
        <v>0</v>
      </c>
      <c r="R55" s="48">
        <v>0</v>
      </c>
      <c r="S55" s="48"/>
      <c r="T55" s="48">
        <f t="shared" ref="T55:T58" si="31">SUM(K55:R55)</f>
        <v>0</v>
      </c>
    </row>
    <row r="56" spans="1:20" ht="25.5" x14ac:dyDescent="0.2">
      <c r="B56" s="43">
        <v>3</v>
      </c>
      <c r="C56" s="155"/>
      <c r="D56" s="265"/>
      <c r="E56" s="266"/>
      <c r="F56" s="265"/>
      <c r="G56" s="43">
        <v>110002</v>
      </c>
      <c r="H56" s="47" t="s">
        <v>101</v>
      </c>
      <c r="I56" s="155"/>
      <c r="J56" s="155"/>
      <c r="K56" s="269">
        <v>0</v>
      </c>
      <c r="L56" s="269">
        <v>0</v>
      </c>
      <c r="M56" s="267"/>
      <c r="N56" s="267"/>
      <c r="O56" s="267"/>
      <c r="P56" s="267"/>
      <c r="Q56" s="267"/>
      <c r="R56" s="266"/>
      <c r="S56" s="48"/>
      <c r="T56" s="48">
        <f t="shared" si="31"/>
        <v>0</v>
      </c>
    </row>
    <row r="57" spans="1:20" ht="25.5" x14ac:dyDescent="0.2">
      <c r="B57" s="43">
        <v>4</v>
      </c>
      <c r="C57" s="155"/>
      <c r="D57" s="265"/>
      <c r="E57" s="266"/>
      <c r="F57" s="265"/>
      <c r="G57" s="43">
        <v>110002</v>
      </c>
      <c r="H57" s="47" t="s">
        <v>101</v>
      </c>
      <c r="I57" s="155"/>
      <c r="J57" s="155"/>
      <c r="K57" s="269">
        <v>0</v>
      </c>
      <c r="L57" s="269">
        <v>0</v>
      </c>
      <c r="M57" s="267"/>
      <c r="N57" s="267"/>
      <c r="O57" s="267"/>
      <c r="P57" s="267"/>
      <c r="Q57" s="267"/>
      <c r="R57" s="266"/>
      <c r="S57" s="48"/>
      <c r="T57" s="48">
        <f t="shared" si="31"/>
        <v>0</v>
      </c>
    </row>
    <row r="58" spans="1:20" ht="25.5" x14ac:dyDescent="0.2">
      <c r="B58" s="43">
        <v>5</v>
      </c>
      <c r="C58" s="155"/>
      <c r="D58" s="265"/>
      <c r="E58" s="266"/>
      <c r="F58" s="265"/>
      <c r="G58" s="43">
        <v>110002</v>
      </c>
      <c r="H58" s="47" t="s">
        <v>101</v>
      </c>
      <c r="I58" s="155"/>
      <c r="J58" s="155"/>
      <c r="K58" s="269">
        <v>0</v>
      </c>
      <c r="L58" s="269">
        <v>0</v>
      </c>
      <c r="M58" s="267"/>
      <c r="N58" s="267"/>
      <c r="O58" s="267"/>
      <c r="P58" s="267"/>
      <c r="Q58" s="267"/>
      <c r="R58" s="266"/>
      <c r="S58" s="48"/>
      <c r="T58" s="48">
        <f t="shared" si="31"/>
        <v>0</v>
      </c>
    </row>
    <row r="59" spans="1:20" s="12" customFormat="1" x14ac:dyDescent="0.2">
      <c r="A59" s="28"/>
      <c r="B59" s="66" t="s">
        <v>32</v>
      </c>
      <c r="C59" s="67"/>
      <c r="D59" s="68"/>
      <c r="E59" s="92" t="s">
        <v>104</v>
      </c>
      <c r="F59" s="106"/>
      <c r="G59" s="67"/>
      <c r="H59" s="68"/>
      <c r="I59" s="69"/>
      <c r="J59" s="69"/>
      <c r="K59" s="49">
        <f>SUM(K54:K58)</f>
        <v>0</v>
      </c>
      <c r="L59" s="49">
        <f t="shared" ref="L59:T59" si="32">SUM(L54:L58)</f>
        <v>0</v>
      </c>
      <c r="M59" s="238">
        <f t="shared" si="32"/>
        <v>0</v>
      </c>
      <c r="N59" s="238">
        <f t="shared" si="32"/>
        <v>0</v>
      </c>
      <c r="O59" s="238">
        <f t="shared" si="32"/>
        <v>0</v>
      </c>
      <c r="P59" s="238">
        <f t="shared" si="32"/>
        <v>0</v>
      </c>
      <c r="Q59" s="238">
        <f t="shared" si="32"/>
        <v>0</v>
      </c>
      <c r="R59" s="49">
        <f t="shared" si="32"/>
        <v>0</v>
      </c>
      <c r="S59" s="49"/>
      <c r="T59" s="49">
        <f t="shared" si="32"/>
        <v>0</v>
      </c>
    </row>
    <row r="60" spans="1:20" s="12" customFormat="1" x14ac:dyDescent="0.2">
      <c r="A60" s="28"/>
      <c r="B60" s="66" t="s">
        <v>103</v>
      </c>
      <c r="C60" s="67"/>
      <c r="D60" s="68"/>
      <c r="E60" s="92" t="s">
        <v>105</v>
      </c>
      <c r="F60" s="106"/>
      <c r="G60" s="67"/>
      <c r="H60" s="68"/>
      <c r="I60" s="69"/>
      <c r="J60" s="69"/>
      <c r="K60" s="70"/>
      <c r="L60" s="70"/>
      <c r="M60" s="242"/>
      <c r="N60" s="242"/>
      <c r="O60" s="242"/>
      <c r="P60" s="242"/>
      <c r="Q60" s="242"/>
      <c r="R60" s="70"/>
      <c r="S60" s="70"/>
      <c r="T60" s="71"/>
    </row>
    <row r="61" spans="1:20" ht="25.5" x14ac:dyDescent="0.2">
      <c r="B61" s="43">
        <v>1</v>
      </c>
      <c r="C61" s="85">
        <v>11000301</v>
      </c>
      <c r="D61" s="47" t="s">
        <v>505</v>
      </c>
      <c r="E61" s="48">
        <f>+IF(C61="",0,VLOOKUP(C61,'AVERAGE COST'!$B$3:$E$995,4))</f>
        <v>0</v>
      </c>
      <c r="F61" s="47" t="s">
        <v>108</v>
      </c>
      <c r="G61" s="43">
        <v>110003</v>
      </c>
      <c r="H61" s="47" t="s">
        <v>105</v>
      </c>
      <c r="I61" s="155"/>
      <c r="J61" s="155"/>
      <c r="K61" s="48">
        <v>0</v>
      </c>
      <c r="L61" s="48">
        <f>+IF(M4="N/A",0,'INITIAL DATA'!F20)</f>
        <v>0</v>
      </c>
      <c r="M61" s="237">
        <v>0</v>
      </c>
      <c r="N61" s="237">
        <v>0</v>
      </c>
      <c r="O61" s="237">
        <v>0</v>
      </c>
      <c r="P61" s="237">
        <v>0</v>
      </c>
      <c r="Q61" s="237">
        <v>0</v>
      </c>
      <c r="R61" s="237">
        <v>0</v>
      </c>
      <c r="S61" s="237">
        <v>0</v>
      </c>
      <c r="T61" s="48">
        <f>SUM(K61:R61)</f>
        <v>0</v>
      </c>
    </row>
    <row r="62" spans="1:20" ht="25.5" x14ac:dyDescent="0.2">
      <c r="B62" s="43">
        <v>2</v>
      </c>
      <c r="C62" s="155"/>
      <c r="D62" s="265"/>
      <c r="E62" s="266"/>
      <c r="F62" s="265"/>
      <c r="G62" s="43">
        <v>110003</v>
      </c>
      <c r="H62" s="47" t="s">
        <v>105</v>
      </c>
      <c r="I62" s="155"/>
      <c r="J62" s="155"/>
      <c r="K62" s="269">
        <v>0</v>
      </c>
      <c r="L62" s="267"/>
      <c r="M62" s="237">
        <v>0</v>
      </c>
      <c r="N62" s="237">
        <v>0</v>
      </c>
      <c r="O62" s="237">
        <v>0</v>
      </c>
      <c r="P62" s="237">
        <v>0</v>
      </c>
      <c r="Q62" s="237">
        <v>0</v>
      </c>
      <c r="R62" s="237">
        <v>0</v>
      </c>
      <c r="S62" s="237">
        <v>0</v>
      </c>
      <c r="T62" s="48">
        <f t="shared" ref="T62:T66" si="33">SUM(K62:R62)</f>
        <v>0</v>
      </c>
    </row>
    <row r="63" spans="1:20" ht="25.5" x14ac:dyDescent="0.2">
      <c r="B63" s="43">
        <v>3</v>
      </c>
      <c r="C63" s="155"/>
      <c r="D63" s="265"/>
      <c r="E63" s="266"/>
      <c r="F63" s="265"/>
      <c r="G63" s="43">
        <v>110003</v>
      </c>
      <c r="H63" s="47" t="s">
        <v>105</v>
      </c>
      <c r="I63" s="155"/>
      <c r="J63" s="155"/>
      <c r="K63" s="269">
        <v>0</v>
      </c>
      <c r="L63" s="267"/>
      <c r="M63" s="237">
        <v>0</v>
      </c>
      <c r="N63" s="237">
        <v>0</v>
      </c>
      <c r="O63" s="237">
        <v>0</v>
      </c>
      <c r="P63" s="237">
        <v>0</v>
      </c>
      <c r="Q63" s="237">
        <v>0</v>
      </c>
      <c r="R63" s="237">
        <v>0</v>
      </c>
      <c r="S63" s="237">
        <v>0</v>
      </c>
      <c r="T63" s="48">
        <f t="shared" si="33"/>
        <v>0</v>
      </c>
    </row>
    <row r="64" spans="1:20" ht="25.5" x14ac:dyDescent="0.2">
      <c r="B64" s="43">
        <v>4</v>
      </c>
      <c r="C64" s="155"/>
      <c r="D64" s="265"/>
      <c r="E64" s="266"/>
      <c r="F64" s="265"/>
      <c r="G64" s="43">
        <v>110003</v>
      </c>
      <c r="H64" s="47" t="s">
        <v>105</v>
      </c>
      <c r="I64" s="155"/>
      <c r="J64" s="155"/>
      <c r="K64" s="269">
        <v>0</v>
      </c>
      <c r="L64" s="267"/>
      <c r="M64" s="237">
        <v>0</v>
      </c>
      <c r="N64" s="237">
        <v>0</v>
      </c>
      <c r="O64" s="237">
        <v>0</v>
      </c>
      <c r="P64" s="237">
        <v>0</v>
      </c>
      <c r="Q64" s="237">
        <v>0</v>
      </c>
      <c r="R64" s="237">
        <v>0</v>
      </c>
      <c r="S64" s="237">
        <v>0</v>
      </c>
      <c r="T64" s="48">
        <f t="shared" si="33"/>
        <v>0</v>
      </c>
    </row>
    <row r="65" spans="1:20" ht="25.5" x14ac:dyDescent="0.2">
      <c r="B65" s="43">
        <v>5</v>
      </c>
      <c r="C65" s="155"/>
      <c r="D65" s="265"/>
      <c r="E65" s="266"/>
      <c r="F65" s="265"/>
      <c r="G65" s="43">
        <v>110003</v>
      </c>
      <c r="H65" s="47" t="s">
        <v>105</v>
      </c>
      <c r="I65" s="155"/>
      <c r="J65" s="155"/>
      <c r="K65" s="269">
        <v>0</v>
      </c>
      <c r="L65" s="267"/>
      <c r="M65" s="237">
        <v>0</v>
      </c>
      <c r="N65" s="237">
        <v>0</v>
      </c>
      <c r="O65" s="237">
        <v>0</v>
      </c>
      <c r="P65" s="237">
        <v>0</v>
      </c>
      <c r="Q65" s="237">
        <v>0</v>
      </c>
      <c r="R65" s="237">
        <v>0</v>
      </c>
      <c r="S65" s="237">
        <v>0</v>
      </c>
      <c r="T65" s="48">
        <f t="shared" si="33"/>
        <v>0</v>
      </c>
    </row>
    <row r="66" spans="1:20" ht="25.5" x14ac:dyDescent="0.2">
      <c r="B66" s="43">
        <v>6</v>
      </c>
      <c r="C66" s="155"/>
      <c r="D66" s="265"/>
      <c r="E66" s="266"/>
      <c r="F66" s="265"/>
      <c r="G66" s="43">
        <v>110003</v>
      </c>
      <c r="H66" s="47" t="s">
        <v>105</v>
      </c>
      <c r="I66" s="155"/>
      <c r="J66" s="155"/>
      <c r="K66" s="269">
        <v>0</v>
      </c>
      <c r="L66" s="267"/>
      <c r="M66" s="237">
        <v>0</v>
      </c>
      <c r="N66" s="237">
        <v>0</v>
      </c>
      <c r="O66" s="237">
        <v>0</v>
      </c>
      <c r="P66" s="237">
        <v>0</v>
      </c>
      <c r="Q66" s="237">
        <v>0</v>
      </c>
      <c r="R66" s="237">
        <v>0</v>
      </c>
      <c r="S66" s="237">
        <v>0</v>
      </c>
      <c r="T66" s="48">
        <f t="shared" si="33"/>
        <v>0</v>
      </c>
    </row>
    <row r="67" spans="1:20" s="12" customFormat="1" x14ac:dyDescent="0.2">
      <c r="A67" s="28"/>
      <c r="B67" s="66" t="s">
        <v>32</v>
      </c>
      <c r="C67" s="67"/>
      <c r="D67" s="68"/>
      <c r="E67" s="92" t="s">
        <v>106</v>
      </c>
      <c r="F67" s="106"/>
      <c r="G67" s="67"/>
      <c r="H67" s="68"/>
      <c r="I67" s="69"/>
      <c r="J67" s="69"/>
      <c r="K67" s="49">
        <f>SUM(K61:K66)</f>
        <v>0</v>
      </c>
      <c r="L67" s="49">
        <f t="shared" ref="L67:T67" si="34">SUM(L61:L66)</f>
        <v>0</v>
      </c>
      <c r="M67" s="238">
        <f t="shared" si="34"/>
        <v>0</v>
      </c>
      <c r="N67" s="238">
        <f t="shared" si="34"/>
        <v>0</v>
      </c>
      <c r="O67" s="238">
        <f t="shared" si="34"/>
        <v>0</v>
      </c>
      <c r="P67" s="238">
        <f t="shared" si="34"/>
        <v>0</v>
      </c>
      <c r="Q67" s="238">
        <f t="shared" si="34"/>
        <v>0</v>
      </c>
      <c r="R67" s="49">
        <f t="shared" si="34"/>
        <v>0</v>
      </c>
      <c r="S67" s="49"/>
      <c r="T67" s="49">
        <f t="shared" si="34"/>
        <v>0</v>
      </c>
    </row>
    <row r="68" spans="1:20" s="12" customFormat="1" x14ac:dyDescent="0.2">
      <c r="A68" s="28"/>
      <c r="B68" s="55" t="s">
        <v>91</v>
      </c>
      <c r="C68" s="56"/>
      <c r="D68" s="57"/>
      <c r="E68" s="82" t="s">
        <v>586</v>
      </c>
      <c r="F68" s="102"/>
      <c r="G68" s="58"/>
      <c r="H68" s="100"/>
      <c r="I68" s="58"/>
      <c r="J68" s="58"/>
      <c r="K68" s="50">
        <f>+K52+K59+K67</f>
        <v>0</v>
      </c>
      <c r="L68" s="50">
        <f t="shared" ref="L68:T68" si="35">+L52+L59+L67</f>
        <v>0</v>
      </c>
      <c r="M68" s="239">
        <f t="shared" si="35"/>
        <v>0</v>
      </c>
      <c r="N68" s="239">
        <f t="shared" si="35"/>
        <v>0</v>
      </c>
      <c r="O68" s="239">
        <f t="shared" si="35"/>
        <v>0</v>
      </c>
      <c r="P68" s="239">
        <f t="shared" si="35"/>
        <v>0</v>
      </c>
      <c r="Q68" s="239">
        <f t="shared" si="35"/>
        <v>0</v>
      </c>
      <c r="R68" s="50">
        <f t="shared" si="35"/>
        <v>0</v>
      </c>
      <c r="S68" s="50"/>
      <c r="T68" s="50">
        <f t="shared" si="35"/>
        <v>0</v>
      </c>
    </row>
    <row r="69" spans="1:20" x14ac:dyDescent="0.2">
      <c r="K69" s="29"/>
      <c r="L69" s="29"/>
      <c r="M69" s="240"/>
      <c r="N69" s="240"/>
      <c r="O69" s="240"/>
      <c r="P69" s="240"/>
      <c r="Q69" s="240"/>
      <c r="R69" s="29"/>
      <c r="S69" s="29"/>
      <c r="T69" s="29"/>
    </row>
    <row r="70" spans="1:20" s="12" customFormat="1" x14ac:dyDescent="0.2">
      <c r="A70" s="28"/>
      <c r="B70" s="72" t="s">
        <v>109</v>
      </c>
      <c r="C70" s="73"/>
      <c r="D70" s="74"/>
      <c r="E70" s="93" t="s">
        <v>110</v>
      </c>
      <c r="F70" s="104"/>
      <c r="G70" s="73"/>
      <c r="H70" s="74"/>
      <c r="I70" s="73"/>
      <c r="J70" s="73"/>
      <c r="K70" s="75"/>
      <c r="L70" s="75"/>
      <c r="M70" s="241"/>
      <c r="N70" s="241"/>
      <c r="O70" s="241"/>
      <c r="P70" s="241"/>
      <c r="Q70" s="241"/>
      <c r="R70" s="75"/>
      <c r="S70" s="75"/>
      <c r="T70" s="76"/>
    </row>
    <row r="71" spans="1:20" s="12" customFormat="1" x14ac:dyDescent="0.2">
      <c r="A71" s="28"/>
      <c r="B71" s="51" t="s">
        <v>112</v>
      </c>
      <c r="C71" s="52"/>
      <c r="D71" s="53"/>
      <c r="E71" s="91" t="s">
        <v>111</v>
      </c>
      <c r="F71" s="105"/>
      <c r="G71" s="52"/>
      <c r="H71" s="53"/>
      <c r="I71" s="54"/>
      <c r="J71" s="54"/>
      <c r="K71" s="64"/>
      <c r="L71" s="64"/>
      <c r="M71" s="236"/>
      <c r="N71" s="236"/>
      <c r="O71" s="236"/>
      <c r="P71" s="236"/>
      <c r="Q71" s="236"/>
      <c r="R71" s="64"/>
      <c r="S71" s="64"/>
      <c r="T71" s="65"/>
    </row>
    <row r="72" spans="1:20" x14ac:dyDescent="0.2">
      <c r="B72" s="43">
        <v>1</v>
      </c>
      <c r="C72" s="43">
        <v>11200101</v>
      </c>
      <c r="D72" s="47" t="str">
        <f>+IF(G72="","",VLOOKUP('AFE DETAILED'!C72,'AVERAGE COST'!$B:$D,3,0))</f>
        <v>UNIT</v>
      </c>
      <c r="E72" s="48">
        <f>+IF(C72="",0,VLOOKUP(C72,'AVERAGE COST'!$B$3:$E$995,4))</f>
        <v>0</v>
      </c>
      <c r="F72" s="47" t="s">
        <v>115</v>
      </c>
      <c r="G72" s="43">
        <v>112001</v>
      </c>
      <c r="H72" s="47" t="s">
        <v>114</v>
      </c>
      <c r="I72" s="155"/>
      <c r="J72" s="155"/>
      <c r="K72" s="48">
        <v>0</v>
      </c>
      <c r="L72" s="48">
        <v>0</v>
      </c>
      <c r="M72" s="237">
        <f>+IF(M4="N/A",0,(($E$72)/1000)*(M11-L11))</f>
        <v>0</v>
      </c>
      <c r="N72" s="237">
        <f t="shared" ref="N72:R72" si="36">+IF(N4="N/A",0,(($E$72)/1000)*(N11-M11))</f>
        <v>0</v>
      </c>
      <c r="O72" s="237">
        <f t="shared" si="36"/>
        <v>0</v>
      </c>
      <c r="P72" s="237">
        <f t="shared" si="36"/>
        <v>0</v>
      </c>
      <c r="Q72" s="237">
        <f t="shared" si="36"/>
        <v>0</v>
      </c>
      <c r="R72" s="48">
        <f t="shared" si="36"/>
        <v>0</v>
      </c>
      <c r="S72" s="48"/>
      <c r="T72" s="48">
        <f>SUM(K72:R72)</f>
        <v>0</v>
      </c>
    </row>
    <row r="73" spans="1:20" x14ac:dyDescent="0.2">
      <c r="B73" s="43">
        <v>2</v>
      </c>
      <c r="C73" s="43">
        <v>11200102</v>
      </c>
      <c r="D73" s="47" t="str">
        <f>+IF(G73="","",VLOOKUP('AFE DETAILED'!C73,'AVERAGE COST'!$B:$D,3,0))</f>
        <v>GLOBAL</v>
      </c>
      <c r="E73" s="48">
        <f>+IF(C73="",0,VLOOKUP(C73,'AVERAGE COST'!$B$3:$E$995,4))</f>
        <v>0</v>
      </c>
      <c r="F73" s="47" t="s">
        <v>116</v>
      </c>
      <c r="G73" s="43">
        <v>112001</v>
      </c>
      <c r="H73" s="47" t="s">
        <v>114</v>
      </c>
      <c r="I73" s="155"/>
      <c r="J73" s="155"/>
      <c r="K73" s="48">
        <v>0</v>
      </c>
      <c r="L73" s="48">
        <v>0</v>
      </c>
      <c r="M73" s="237">
        <f>+IF(M4="N/A",0,(($E$73)/15)*(M8+M9))</f>
        <v>0</v>
      </c>
      <c r="N73" s="237">
        <f t="shared" ref="N73:R73" si="37">+IF(N4="N/A",0,(($E$73)/15)*(N8+N9))</f>
        <v>0</v>
      </c>
      <c r="O73" s="237">
        <f t="shared" si="37"/>
        <v>0</v>
      </c>
      <c r="P73" s="237">
        <f t="shared" si="37"/>
        <v>0</v>
      </c>
      <c r="Q73" s="237">
        <f t="shared" si="37"/>
        <v>0</v>
      </c>
      <c r="R73" s="48">
        <f t="shared" si="37"/>
        <v>0</v>
      </c>
      <c r="S73" s="48"/>
      <c r="T73" s="48">
        <f t="shared" ref="T73:T80" si="38">SUM(K73:R73)</f>
        <v>0</v>
      </c>
    </row>
    <row r="74" spans="1:20" x14ac:dyDescent="0.2">
      <c r="B74" s="43">
        <v>3</v>
      </c>
      <c r="C74" s="43">
        <v>11200103</v>
      </c>
      <c r="D74" s="47" t="str">
        <f>+IF(G74="","",VLOOKUP('AFE DETAILED'!C74,'AVERAGE COST'!$B:$D,3,0))</f>
        <v>GLOBAL</v>
      </c>
      <c r="E74" s="48">
        <f>+IF(C74="",0,VLOOKUP(C74,'AVERAGE COST'!$B$3:$E$995,4))</f>
        <v>0</v>
      </c>
      <c r="F74" s="47" t="s">
        <v>117</v>
      </c>
      <c r="G74" s="43">
        <v>112001</v>
      </c>
      <c r="H74" s="47" t="s">
        <v>114</v>
      </c>
      <c r="I74" s="155"/>
      <c r="J74" s="155"/>
      <c r="K74" s="48">
        <v>0</v>
      </c>
      <c r="L74" s="48">
        <v>0</v>
      </c>
      <c r="M74" s="237">
        <f>+IF(M4="n/a",0,$E$74*'INITIAL DATA'!C33)</f>
        <v>0</v>
      </c>
      <c r="N74" s="237">
        <v>0</v>
      </c>
      <c r="O74" s="237">
        <v>0</v>
      </c>
      <c r="P74" s="237">
        <v>0</v>
      </c>
      <c r="Q74" s="237">
        <v>0</v>
      </c>
      <c r="R74" s="48">
        <f>+IF(R4="n/a",0,J74*'INITIAL DATA'!H33)</f>
        <v>0</v>
      </c>
      <c r="S74" s="48"/>
      <c r="T74" s="48">
        <f t="shared" si="38"/>
        <v>0</v>
      </c>
    </row>
    <row r="75" spans="1:20" x14ac:dyDescent="0.2">
      <c r="B75" s="43">
        <v>4</v>
      </c>
      <c r="C75" s="43">
        <v>11200104</v>
      </c>
      <c r="D75" s="47" t="str">
        <f>+IF(G75="","",VLOOKUP('AFE DETAILED'!C75,'AVERAGE COST'!$B:$D,3,0))</f>
        <v>GLOBAL</v>
      </c>
      <c r="E75" s="48">
        <f>+IF(C75="",0,VLOOKUP(C75,'AVERAGE COST'!$B$3:$E$995,4))</f>
        <v>0</v>
      </c>
      <c r="F75" s="47" t="s">
        <v>98</v>
      </c>
      <c r="G75" s="43">
        <v>112001</v>
      </c>
      <c r="H75" s="47" t="s">
        <v>114</v>
      </c>
      <c r="I75" s="155"/>
      <c r="J75" s="155"/>
      <c r="K75" s="48">
        <v>0</v>
      </c>
      <c r="L75" s="48">
        <v>0</v>
      </c>
      <c r="M75" s="237">
        <v>0</v>
      </c>
      <c r="N75" s="237">
        <v>0</v>
      </c>
      <c r="O75" s="237">
        <v>0</v>
      </c>
      <c r="P75" s="237">
        <v>0</v>
      </c>
      <c r="Q75" s="237">
        <v>0</v>
      </c>
      <c r="R75" s="48">
        <v>0</v>
      </c>
      <c r="S75" s="48"/>
      <c r="T75" s="48">
        <f t="shared" si="38"/>
        <v>0</v>
      </c>
    </row>
    <row r="76" spans="1:20" x14ac:dyDescent="0.2">
      <c r="B76" s="43">
        <v>5</v>
      </c>
      <c r="C76" s="155"/>
      <c r="D76" s="265"/>
      <c r="E76" s="266"/>
      <c r="F76" s="265"/>
      <c r="G76" s="43">
        <v>112001</v>
      </c>
      <c r="H76" s="47" t="s">
        <v>114</v>
      </c>
      <c r="I76" s="155"/>
      <c r="J76" s="155"/>
      <c r="K76" s="269">
        <v>0</v>
      </c>
      <c r="L76" s="269">
        <v>0</v>
      </c>
      <c r="M76" s="267"/>
      <c r="N76" s="267"/>
      <c r="O76" s="267"/>
      <c r="P76" s="267"/>
      <c r="Q76" s="267"/>
      <c r="R76" s="266"/>
      <c r="S76" s="48"/>
      <c r="T76" s="48">
        <f t="shared" si="38"/>
        <v>0</v>
      </c>
    </row>
    <row r="77" spans="1:20" x14ac:dyDescent="0.2">
      <c r="B77" s="43">
        <v>6</v>
      </c>
      <c r="C77" s="155"/>
      <c r="D77" s="265"/>
      <c r="E77" s="266"/>
      <c r="F77" s="265"/>
      <c r="G77" s="43">
        <v>112001</v>
      </c>
      <c r="H77" s="47" t="s">
        <v>114</v>
      </c>
      <c r="I77" s="155"/>
      <c r="J77" s="155"/>
      <c r="K77" s="269">
        <v>0</v>
      </c>
      <c r="L77" s="269">
        <v>0</v>
      </c>
      <c r="M77" s="267"/>
      <c r="N77" s="267"/>
      <c r="O77" s="267"/>
      <c r="P77" s="267"/>
      <c r="Q77" s="267"/>
      <c r="R77" s="266"/>
      <c r="S77" s="48"/>
      <c r="T77" s="48">
        <f t="shared" si="38"/>
        <v>0</v>
      </c>
    </row>
    <row r="78" spans="1:20" x14ac:dyDescent="0.2">
      <c r="B78" s="43">
        <v>7</v>
      </c>
      <c r="C78" s="155"/>
      <c r="D78" s="265"/>
      <c r="E78" s="266"/>
      <c r="F78" s="265"/>
      <c r="G78" s="43">
        <v>112001</v>
      </c>
      <c r="H78" s="47" t="s">
        <v>114</v>
      </c>
      <c r="I78" s="155"/>
      <c r="J78" s="155"/>
      <c r="K78" s="269">
        <v>0</v>
      </c>
      <c r="L78" s="269">
        <v>0</v>
      </c>
      <c r="M78" s="267"/>
      <c r="N78" s="267"/>
      <c r="O78" s="267"/>
      <c r="P78" s="267"/>
      <c r="Q78" s="267"/>
      <c r="R78" s="266"/>
      <c r="S78" s="48"/>
      <c r="T78" s="48">
        <f t="shared" si="38"/>
        <v>0</v>
      </c>
    </row>
    <row r="79" spans="1:20" x14ac:dyDescent="0.2">
      <c r="B79" s="43">
        <v>8</v>
      </c>
      <c r="C79" s="155"/>
      <c r="D79" s="265"/>
      <c r="E79" s="266"/>
      <c r="F79" s="265"/>
      <c r="G79" s="43">
        <v>112001</v>
      </c>
      <c r="H79" s="47" t="s">
        <v>114</v>
      </c>
      <c r="I79" s="155"/>
      <c r="J79" s="155"/>
      <c r="K79" s="269">
        <v>0</v>
      </c>
      <c r="L79" s="269">
        <v>0</v>
      </c>
      <c r="M79" s="267"/>
      <c r="N79" s="267"/>
      <c r="O79" s="267"/>
      <c r="P79" s="267"/>
      <c r="Q79" s="267"/>
      <c r="R79" s="266"/>
      <c r="S79" s="48"/>
      <c r="T79" s="48">
        <f t="shared" si="38"/>
        <v>0</v>
      </c>
    </row>
    <row r="80" spans="1:20" x14ac:dyDescent="0.2">
      <c r="B80" s="43">
        <v>9</v>
      </c>
      <c r="C80" s="155"/>
      <c r="D80" s="265"/>
      <c r="E80" s="266"/>
      <c r="F80" s="265"/>
      <c r="G80" s="43">
        <v>112001</v>
      </c>
      <c r="H80" s="47" t="s">
        <v>114</v>
      </c>
      <c r="I80" s="155"/>
      <c r="J80" s="155"/>
      <c r="K80" s="269">
        <v>0</v>
      </c>
      <c r="L80" s="269">
        <v>0</v>
      </c>
      <c r="M80" s="267"/>
      <c r="N80" s="267"/>
      <c r="O80" s="267"/>
      <c r="P80" s="267"/>
      <c r="Q80" s="267"/>
      <c r="R80" s="266"/>
      <c r="S80" s="48"/>
      <c r="T80" s="48">
        <f t="shared" si="38"/>
        <v>0</v>
      </c>
    </row>
    <row r="81" spans="1:20" s="12" customFormat="1" x14ac:dyDescent="0.2">
      <c r="A81" s="28"/>
      <c r="B81" s="66" t="s">
        <v>32</v>
      </c>
      <c r="C81" s="67"/>
      <c r="D81" s="68"/>
      <c r="E81" s="92" t="s">
        <v>113</v>
      </c>
      <c r="F81" s="106"/>
      <c r="G81" s="67"/>
      <c r="H81" s="68"/>
      <c r="I81" s="69"/>
      <c r="J81" s="69"/>
      <c r="K81" s="49">
        <f>SUM(K72:K80)</f>
        <v>0</v>
      </c>
      <c r="L81" s="49">
        <f t="shared" ref="L81:T81" si="39">SUM(L72:L80)</f>
        <v>0</v>
      </c>
      <c r="M81" s="238">
        <f t="shared" si="39"/>
        <v>0</v>
      </c>
      <c r="N81" s="238">
        <f t="shared" si="39"/>
        <v>0</v>
      </c>
      <c r="O81" s="238">
        <f t="shared" si="39"/>
        <v>0</v>
      </c>
      <c r="P81" s="238">
        <f t="shared" si="39"/>
        <v>0</v>
      </c>
      <c r="Q81" s="238">
        <f t="shared" si="39"/>
        <v>0</v>
      </c>
      <c r="R81" s="49">
        <f t="shared" si="39"/>
        <v>0</v>
      </c>
      <c r="S81" s="49"/>
      <c r="T81" s="49">
        <f t="shared" si="39"/>
        <v>0</v>
      </c>
    </row>
    <row r="82" spans="1:20" s="12" customFormat="1" x14ac:dyDescent="0.2">
      <c r="A82" s="28"/>
      <c r="B82" s="66" t="s">
        <v>118</v>
      </c>
      <c r="C82" s="67"/>
      <c r="D82" s="68"/>
      <c r="E82" s="92" t="s">
        <v>119</v>
      </c>
      <c r="F82" s="106"/>
      <c r="G82" s="67"/>
      <c r="H82" s="68"/>
      <c r="I82" s="69"/>
      <c r="J82" s="69"/>
      <c r="K82" s="70"/>
      <c r="L82" s="70"/>
      <c r="M82" s="242"/>
      <c r="N82" s="242"/>
      <c r="O82" s="242"/>
      <c r="P82" s="242"/>
      <c r="Q82" s="242"/>
      <c r="R82" s="70"/>
      <c r="S82" s="70"/>
      <c r="T82" s="71"/>
    </row>
    <row r="83" spans="1:20" x14ac:dyDescent="0.2">
      <c r="B83" s="43">
        <v>1</v>
      </c>
      <c r="C83" s="85">
        <v>11200201</v>
      </c>
      <c r="D83" s="47" t="str">
        <f>+IF(G83="","",VLOOKUP('AFE DETAILED'!C83,'AVERAGE COST'!$B:$D,3,0))</f>
        <v>BBL</v>
      </c>
      <c r="E83" s="48">
        <f>+IF(C83="",0,VLOOKUP(C83,'AVERAGE COST'!$B$3:$E$995,4))</f>
        <v>0</v>
      </c>
      <c r="F83" s="47" t="s">
        <v>121</v>
      </c>
      <c r="G83" s="43">
        <v>112002</v>
      </c>
      <c r="H83" s="47" t="s">
        <v>120</v>
      </c>
      <c r="I83" s="155"/>
      <c r="J83" s="155"/>
      <c r="K83" s="48">
        <v>0</v>
      </c>
      <c r="L83" s="48">
        <v>0</v>
      </c>
      <c r="M83" s="237">
        <f>+IF(M4="N/A",0,(((OPERATIONS!E6^2)*M11)/1029.5)*$E$83)*0.5</f>
        <v>0</v>
      </c>
      <c r="N83" s="237">
        <f>+IF(N4="N/A",0,(((OPERATIONS!F6^2)*N11)/1029.5)*$E$83)</f>
        <v>0</v>
      </c>
      <c r="O83" s="237">
        <f>+IF(O4="N/A",0,(((OPERATIONS!G6^2)*O11)/1029.5)*$E$83)</f>
        <v>0</v>
      </c>
      <c r="P83" s="237">
        <f>+IF(P4="N/A",0,(((OPERATIONS!H6^2)*P11)/1029.5)*$E$83)</f>
        <v>0</v>
      </c>
      <c r="Q83" s="237">
        <f>+IF(Q4="N/A",0,(((OPERATIONS!I6^2)*Q11)/1029.5)*$E$83)</f>
        <v>0</v>
      </c>
      <c r="R83" s="48">
        <v>0</v>
      </c>
      <c r="S83" s="48"/>
      <c r="T83" s="48">
        <f>SUM(K83:R83)</f>
        <v>0</v>
      </c>
    </row>
    <row r="84" spans="1:20" x14ac:dyDescent="0.2">
      <c r="B84" s="43">
        <v>2</v>
      </c>
      <c r="C84" s="43">
        <v>11200202</v>
      </c>
      <c r="D84" s="47" t="str">
        <f>+IF(G84="","",VLOOKUP('AFE DETAILED'!C84,'AVERAGE COST'!$B:$D,3,0))</f>
        <v>BBL</v>
      </c>
      <c r="E84" s="48">
        <f>+IF(C84="",0,VLOOKUP(C84,'AVERAGE COST'!$B$3:$E$995,4))</f>
        <v>0</v>
      </c>
      <c r="F84" s="47" t="s">
        <v>122</v>
      </c>
      <c r="G84" s="43">
        <v>112002</v>
      </c>
      <c r="H84" s="47" t="s">
        <v>120</v>
      </c>
      <c r="I84" s="155"/>
      <c r="J84" s="155"/>
      <c r="K84" s="48">
        <v>0</v>
      </c>
      <c r="L84" s="48">
        <v>0</v>
      </c>
      <c r="M84" s="237">
        <v>0</v>
      </c>
      <c r="N84" s="237">
        <v>0</v>
      </c>
      <c r="O84" s="237">
        <v>0</v>
      </c>
      <c r="P84" s="237">
        <v>0</v>
      </c>
      <c r="Q84" s="237">
        <v>0</v>
      </c>
      <c r="R84" s="48">
        <f>+IF(R4="N/A",0,0.057*R11*E84)</f>
        <v>0</v>
      </c>
      <c r="S84" s="48"/>
      <c r="T84" s="48">
        <f t="shared" ref="T84:T88" si="40">SUM(K84:R84)</f>
        <v>0</v>
      </c>
    </row>
    <row r="85" spans="1:20" x14ac:dyDescent="0.2">
      <c r="B85" s="43">
        <v>3</v>
      </c>
      <c r="C85" s="155"/>
      <c r="D85" s="265"/>
      <c r="E85" s="266"/>
      <c r="F85" s="265"/>
      <c r="G85" s="43">
        <v>112002</v>
      </c>
      <c r="H85" s="47" t="s">
        <v>120</v>
      </c>
      <c r="I85" s="155"/>
      <c r="J85" s="155"/>
      <c r="K85" s="269">
        <v>0</v>
      </c>
      <c r="L85" s="269">
        <v>0</v>
      </c>
      <c r="M85" s="267"/>
      <c r="N85" s="267"/>
      <c r="O85" s="267"/>
      <c r="P85" s="267"/>
      <c r="Q85" s="267"/>
      <c r="R85" s="266"/>
      <c r="S85" s="48"/>
      <c r="T85" s="48">
        <f t="shared" si="40"/>
        <v>0</v>
      </c>
    </row>
    <row r="86" spans="1:20" x14ac:dyDescent="0.2">
      <c r="B86" s="43">
        <v>4</v>
      </c>
      <c r="C86" s="155"/>
      <c r="D86" s="265"/>
      <c r="E86" s="266"/>
      <c r="F86" s="265"/>
      <c r="G86" s="43">
        <v>112002</v>
      </c>
      <c r="H86" s="47" t="s">
        <v>120</v>
      </c>
      <c r="I86" s="155"/>
      <c r="J86" s="155"/>
      <c r="K86" s="269">
        <v>0</v>
      </c>
      <c r="L86" s="269">
        <v>0</v>
      </c>
      <c r="M86" s="267"/>
      <c r="N86" s="267"/>
      <c r="O86" s="267"/>
      <c r="P86" s="267"/>
      <c r="Q86" s="267"/>
      <c r="R86" s="266"/>
      <c r="S86" s="48"/>
      <c r="T86" s="48">
        <f t="shared" si="40"/>
        <v>0</v>
      </c>
    </row>
    <row r="87" spans="1:20" x14ac:dyDescent="0.2">
      <c r="B87" s="43">
        <v>5</v>
      </c>
      <c r="C87" s="155"/>
      <c r="D87" s="265"/>
      <c r="E87" s="266"/>
      <c r="F87" s="265"/>
      <c r="G87" s="43">
        <v>112002</v>
      </c>
      <c r="H87" s="47" t="s">
        <v>120</v>
      </c>
      <c r="I87" s="155"/>
      <c r="J87" s="155"/>
      <c r="K87" s="269">
        <v>0</v>
      </c>
      <c r="L87" s="269">
        <v>0</v>
      </c>
      <c r="M87" s="267"/>
      <c r="N87" s="267"/>
      <c r="O87" s="267"/>
      <c r="P87" s="267"/>
      <c r="Q87" s="267"/>
      <c r="R87" s="266"/>
      <c r="S87" s="48"/>
      <c r="T87" s="48">
        <f t="shared" si="40"/>
        <v>0</v>
      </c>
    </row>
    <row r="88" spans="1:20" x14ac:dyDescent="0.2">
      <c r="B88" s="43">
        <v>6</v>
      </c>
      <c r="C88" s="155"/>
      <c r="D88" s="265"/>
      <c r="E88" s="266"/>
      <c r="F88" s="265"/>
      <c r="G88" s="43">
        <v>112002</v>
      </c>
      <c r="H88" s="47" t="s">
        <v>120</v>
      </c>
      <c r="I88" s="155"/>
      <c r="J88" s="155"/>
      <c r="K88" s="269">
        <v>0</v>
      </c>
      <c r="L88" s="269">
        <v>0</v>
      </c>
      <c r="M88" s="267"/>
      <c r="N88" s="267"/>
      <c r="O88" s="267"/>
      <c r="P88" s="267"/>
      <c r="Q88" s="267"/>
      <c r="R88" s="266"/>
      <c r="S88" s="48"/>
      <c r="T88" s="48">
        <f t="shared" si="40"/>
        <v>0</v>
      </c>
    </row>
    <row r="89" spans="1:20" s="12" customFormat="1" x14ac:dyDescent="0.2">
      <c r="A89" s="28"/>
      <c r="B89" s="66" t="s">
        <v>32</v>
      </c>
      <c r="C89" s="67"/>
      <c r="D89" s="68"/>
      <c r="E89" s="92" t="s">
        <v>467</v>
      </c>
      <c r="F89" s="106"/>
      <c r="G89" s="67"/>
      <c r="H89" s="68"/>
      <c r="I89" s="69"/>
      <c r="J89" s="69"/>
      <c r="K89" s="49">
        <f>SUM(K83:K88)</f>
        <v>0</v>
      </c>
      <c r="L89" s="49">
        <f t="shared" ref="L89:T89" si="41">SUM(L83:L88)</f>
        <v>0</v>
      </c>
      <c r="M89" s="238">
        <f t="shared" si="41"/>
        <v>0</v>
      </c>
      <c r="N89" s="238">
        <f t="shared" si="41"/>
        <v>0</v>
      </c>
      <c r="O89" s="238">
        <f t="shared" si="41"/>
        <v>0</v>
      </c>
      <c r="P89" s="238">
        <f t="shared" si="41"/>
        <v>0</v>
      </c>
      <c r="Q89" s="238">
        <f t="shared" si="41"/>
        <v>0</v>
      </c>
      <c r="R89" s="49">
        <f t="shared" si="41"/>
        <v>0</v>
      </c>
      <c r="S89" s="49"/>
      <c r="T89" s="49">
        <f t="shared" si="41"/>
        <v>0</v>
      </c>
    </row>
    <row r="90" spans="1:20" s="12" customFormat="1" x14ac:dyDescent="0.2">
      <c r="A90" s="28"/>
      <c r="B90" s="66" t="s">
        <v>123</v>
      </c>
      <c r="C90" s="67"/>
      <c r="D90" s="68"/>
      <c r="E90" s="92" t="s">
        <v>124</v>
      </c>
      <c r="F90" s="106"/>
      <c r="G90" s="67"/>
      <c r="H90" s="68"/>
      <c r="I90" s="69"/>
      <c r="J90" s="69"/>
      <c r="K90" s="70"/>
      <c r="L90" s="70"/>
      <c r="M90" s="242"/>
      <c r="N90" s="242"/>
      <c r="O90" s="242"/>
      <c r="P90" s="242"/>
      <c r="Q90" s="242"/>
      <c r="R90" s="70"/>
      <c r="S90" s="70"/>
      <c r="T90" s="71"/>
    </row>
    <row r="91" spans="1:20" x14ac:dyDescent="0.2">
      <c r="B91" s="43">
        <v>1</v>
      </c>
      <c r="C91" s="85">
        <v>11200301</v>
      </c>
      <c r="D91" s="47" t="str">
        <f>+IF(G91="","",VLOOKUP('AFE DETAILED'!C91,'AVERAGE COST'!$B:$D,3,0))</f>
        <v>UNIT</v>
      </c>
      <c r="E91" s="48">
        <f>+IF(C91="",0,VLOOKUP(C91,'AVERAGE COST'!$B$3:$E$995,4))</f>
        <v>0</v>
      </c>
      <c r="F91" s="47" t="s">
        <v>125</v>
      </c>
      <c r="G91" s="43">
        <v>112003</v>
      </c>
      <c r="H91" s="47" t="s">
        <v>124</v>
      </c>
      <c r="I91" s="155"/>
      <c r="J91" s="155"/>
      <c r="K91" s="48">
        <v>0</v>
      </c>
      <c r="L91" s="48">
        <v>0</v>
      </c>
      <c r="M91" s="237">
        <f>+IF(M92=0,0,$E$91)</f>
        <v>0</v>
      </c>
      <c r="N91" s="237">
        <f t="shared" ref="N91:Q91" si="42">+IF(N92=0,0,$E$91)</f>
        <v>0</v>
      </c>
      <c r="O91" s="237">
        <f t="shared" si="42"/>
        <v>0</v>
      </c>
      <c r="P91" s="237">
        <f t="shared" si="42"/>
        <v>0</v>
      </c>
      <c r="Q91" s="237">
        <f t="shared" si="42"/>
        <v>0</v>
      </c>
      <c r="R91" s="48">
        <v>0</v>
      </c>
      <c r="S91" s="48"/>
      <c r="T91" s="48">
        <f>SUM(K91:R91)</f>
        <v>0</v>
      </c>
    </row>
    <row r="92" spans="1:20" x14ac:dyDescent="0.2">
      <c r="B92" s="43">
        <v>2</v>
      </c>
      <c r="C92" s="85">
        <v>11200302</v>
      </c>
      <c r="D92" s="47" t="str">
        <f>+IF(G92="","",VLOOKUP('AFE DETAILED'!C92,'AVERAGE COST'!$B:$D,3,0))</f>
        <v>BBL</v>
      </c>
      <c r="E92" s="48">
        <f>+IF(C92="",0,VLOOKUP(C92,'AVERAGE COST'!$B$3:$E$995,4))</f>
        <v>0</v>
      </c>
      <c r="F92" s="47" t="s">
        <v>126</v>
      </c>
      <c r="G92" s="43">
        <v>112003</v>
      </c>
      <c r="H92" s="47" t="s">
        <v>124</v>
      </c>
      <c r="I92" s="155"/>
      <c r="J92" s="155"/>
      <c r="K92" s="48">
        <v>0</v>
      </c>
      <c r="L92" s="48">
        <v>0</v>
      </c>
      <c r="M92" s="237">
        <f>+IF(M4="N/A",0,((((OPERATIONS!E6^2-OPERATIONS!E8^2)/1029.5)*(M11-L11+'INITIAL DATA'!C38))*$E$92*5.61))</f>
        <v>0</v>
      </c>
      <c r="N92" s="237">
        <f>+IF(N4="N/A",0,((((OPERATIONS!F6^2-OPERATIONS!F8^2)/1029.5)*(N11-M11+'INITIAL DATA'!D38))*$E$92*5.61))</f>
        <v>0</v>
      </c>
      <c r="O92" s="237">
        <f>+IF(O4="N/A",0,((((OPERATIONS!G6^2-OPERATIONS!G8^2)/1029.5)*(O11-N11+'INITIAL DATA'!E38))*$E$92*5.61))</f>
        <v>0</v>
      </c>
      <c r="P92" s="237">
        <f>+IF(P4="N/A",0,((((OPERATIONS!H6^2-OPERATIONS!H8^2)/1029.5)*(P11-O11+'INITIAL DATA'!F38))*$E$92*5.61))</f>
        <v>0</v>
      </c>
      <c r="Q92" s="237">
        <f>+IF(Q4="N/A",0,((((OPERATIONS!I6^2-OPERATIONS!I8^2)/1029.5)*(Q11-P11+'INITIAL DATA'!G38))*$E$92*5.61))</f>
        <v>0</v>
      </c>
      <c r="R92" s="48">
        <v>0</v>
      </c>
      <c r="S92" s="48"/>
      <c r="T92" s="48">
        <f t="shared" ref="T92:T101" si="43">SUM(K92:R92)</f>
        <v>0</v>
      </c>
    </row>
    <row r="93" spans="1:20" x14ac:dyDescent="0.2">
      <c r="B93" s="43">
        <v>3</v>
      </c>
      <c r="C93" s="155"/>
      <c r="D93" s="265"/>
      <c r="E93" s="266"/>
      <c r="F93" s="265"/>
      <c r="G93" s="43">
        <v>112003</v>
      </c>
      <c r="H93" s="47" t="s">
        <v>124</v>
      </c>
      <c r="I93" s="155"/>
      <c r="J93" s="155"/>
      <c r="K93" s="269">
        <v>0</v>
      </c>
      <c r="L93" s="269">
        <v>0</v>
      </c>
      <c r="M93" s="267"/>
      <c r="N93" s="267"/>
      <c r="O93" s="267"/>
      <c r="P93" s="267"/>
      <c r="Q93" s="267"/>
      <c r="R93" s="266"/>
      <c r="S93" s="48"/>
      <c r="T93" s="48">
        <f t="shared" si="43"/>
        <v>0</v>
      </c>
    </row>
    <row r="94" spans="1:20" x14ac:dyDescent="0.2">
      <c r="B94" s="43">
        <v>4</v>
      </c>
      <c r="C94" s="155"/>
      <c r="D94" s="265"/>
      <c r="E94" s="266"/>
      <c r="F94" s="265"/>
      <c r="G94" s="43">
        <v>112003</v>
      </c>
      <c r="H94" s="47" t="s">
        <v>124</v>
      </c>
      <c r="I94" s="155"/>
      <c r="J94" s="155"/>
      <c r="K94" s="269">
        <v>0</v>
      </c>
      <c r="L94" s="269">
        <v>0</v>
      </c>
      <c r="M94" s="267"/>
      <c r="N94" s="267"/>
      <c r="O94" s="267"/>
      <c r="P94" s="267"/>
      <c r="Q94" s="267"/>
      <c r="R94" s="266"/>
      <c r="S94" s="48"/>
      <c r="T94" s="48">
        <f t="shared" si="43"/>
        <v>0</v>
      </c>
    </row>
    <row r="95" spans="1:20" x14ac:dyDescent="0.2">
      <c r="B95" s="43">
        <v>5</v>
      </c>
      <c r="C95" s="155"/>
      <c r="D95" s="265"/>
      <c r="E95" s="266"/>
      <c r="F95" s="265"/>
      <c r="G95" s="43">
        <v>112003</v>
      </c>
      <c r="H95" s="47" t="s">
        <v>124</v>
      </c>
      <c r="I95" s="155"/>
      <c r="J95" s="155"/>
      <c r="K95" s="269">
        <v>0</v>
      </c>
      <c r="L95" s="269">
        <v>0</v>
      </c>
      <c r="M95" s="267"/>
      <c r="N95" s="267"/>
      <c r="O95" s="267"/>
      <c r="P95" s="267"/>
      <c r="Q95" s="267"/>
      <c r="R95" s="266"/>
      <c r="S95" s="48"/>
      <c r="T95" s="48">
        <f t="shared" si="43"/>
        <v>0</v>
      </c>
    </row>
    <row r="96" spans="1:20" x14ac:dyDescent="0.2">
      <c r="B96" s="43">
        <v>6</v>
      </c>
      <c r="C96" s="155"/>
      <c r="D96" s="265"/>
      <c r="E96" s="266"/>
      <c r="F96" s="265"/>
      <c r="G96" s="43">
        <v>112003</v>
      </c>
      <c r="H96" s="47" t="s">
        <v>124</v>
      </c>
      <c r="I96" s="155"/>
      <c r="J96" s="155"/>
      <c r="K96" s="269">
        <v>0</v>
      </c>
      <c r="L96" s="269">
        <v>0</v>
      </c>
      <c r="M96" s="267"/>
      <c r="N96" s="267"/>
      <c r="O96" s="267"/>
      <c r="P96" s="267"/>
      <c r="Q96" s="267"/>
      <c r="R96" s="266"/>
      <c r="S96" s="48"/>
      <c r="T96" s="48">
        <f t="shared" si="43"/>
        <v>0</v>
      </c>
    </row>
    <row r="97" spans="1:20" x14ac:dyDescent="0.2">
      <c r="B97" s="43">
        <v>7</v>
      </c>
      <c r="C97" s="155"/>
      <c r="D97" s="265"/>
      <c r="E97" s="266"/>
      <c r="F97" s="265"/>
      <c r="G97" s="43">
        <v>112003</v>
      </c>
      <c r="H97" s="47" t="s">
        <v>124</v>
      </c>
      <c r="I97" s="155"/>
      <c r="J97" s="155"/>
      <c r="K97" s="269">
        <v>0</v>
      </c>
      <c r="L97" s="269">
        <v>0</v>
      </c>
      <c r="M97" s="267"/>
      <c r="N97" s="267"/>
      <c r="O97" s="267"/>
      <c r="P97" s="267"/>
      <c r="Q97" s="267"/>
      <c r="R97" s="266"/>
      <c r="S97" s="48"/>
      <c r="T97" s="48">
        <f t="shared" si="43"/>
        <v>0</v>
      </c>
    </row>
    <row r="98" spans="1:20" x14ac:dyDescent="0.2">
      <c r="B98" s="43">
        <v>8</v>
      </c>
      <c r="C98" s="155"/>
      <c r="D98" s="265"/>
      <c r="E98" s="266"/>
      <c r="F98" s="265"/>
      <c r="G98" s="43">
        <v>112003</v>
      </c>
      <c r="H98" s="47" t="s">
        <v>124</v>
      </c>
      <c r="I98" s="155"/>
      <c r="J98" s="155"/>
      <c r="K98" s="269">
        <v>0</v>
      </c>
      <c r="L98" s="269">
        <v>0</v>
      </c>
      <c r="M98" s="267"/>
      <c r="N98" s="267"/>
      <c r="O98" s="267"/>
      <c r="P98" s="267"/>
      <c r="Q98" s="267"/>
      <c r="R98" s="266"/>
      <c r="S98" s="48"/>
      <c r="T98" s="48">
        <f t="shared" si="43"/>
        <v>0</v>
      </c>
    </row>
    <row r="99" spans="1:20" x14ac:dyDescent="0.2">
      <c r="B99" s="43">
        <v>9</v>
      </c>
      <c r="C99" s="155"/>
      <c r="D99" s="265"/>
      <c r="E99" s="266"/>
      <c r="F99" s="265"/>
      <c r="G99" s="43">
        <v>112003</v>
      </c>
      <c r="H99" s="47" t="s">
        <v>124</v>
      </c>
      <c r="I99" s="155"/>
      <c r="J99" s="155"/>
      <c r="K99" s="269">
        <v>0</v>
      </c>
      <c r="L99" s="269">
        <v>0</v>
      </c>
      <c r="M99" s="267"/>
      <c r="N99" s="267"/>
      <c r="O99" s="267"/>
      <c r="P99" s="267"/>
      <c r="Q99" s="267"/>
      <c r="R99" s="266"/>
      <c r="S99" s="48"/>
      <c r="T99" s="48">
        <f t="shared" si="43"/>
        <v>0</v>
      </c>
    </row>
    <row r="100" spans="1:20" x14ac:dyDescent="0.2">
      <c r="B100" s="43">
        <v>10</v>
      </c>
      <c r="C100" s="155"/>
      <c r="D100" s="265"/>
      <c r="E100" s="266"/>
      <c r="F100" s="265"/>
      <c r="G100" s="43">
        <v>112003</v>
      </c>
      <c r="H100" s="47" t="s">
        <v>124</v>
      </c>
      <c r="I100" s="155"/>
      <c r="J100" s="155"/>
      <c r="K100" s="269">
        <v>0</v>
      </c>
      <c r="L100" s="269">
        <v>0</v>
      </c>
      <c r="M100" s="267"/>
      <c r="N100" s="267"/>
      <c r="O100" s="267"/>
      <c r="P100" s="267"/>
      <c r="Q100" s="267"/>
      <c r="R100" s="266"/>
      <c r="S100" s="48"/>
      <c r="T100" s="48">
        <f t="shared" si="43"/>
        <v>0</v>
      </c>
    </row>
    <row r="101" spans="1:20" x14ac:dyDescent="0.2">
      <c r="B101" s="43">
        <v>11</v>
      </c>
      <c r="C101" s="155"/>
      <c r="D101" s="265"/>
      <c r="E101" s="266"/>
      <c r="F101" s="265"/>
      <c r="G101" s="43">
        <v>112003</v>
      </c>
      <c r="H101" s="47" t="s">
        <v>124</v>
      </c>
      <c r="I101" s="155"/>
      <c r="J101" s="155"/>
      <c r="K101" s="269">
        <v>0</v>
      </c>
      <c r="L101" s="269">
        <v>0</v>
      </c>
      <c r="M101" s="267"/>
      <c r="N101" s="267"/>
      <c r="O101" s="267"/>
      <c r="P101" s="267"/>
      <c r="Q101" s="267"/>
      <c r="R101" s="266"/>
      <c r="S101" s="48"/>
      <c r="T101" s="48">
        <f t="shared" si="43"/>
        <v>0</v>
      </c>
    </row>
    <row r="102" spans="1:20" s="12" customFormat="1" x14ac:dyDescent="0.2">
      <c r="A102" s="28"/>
      <c r="B102" s="66" t="s">
        <v>32</v>
      </c>
      <c r="C102" s="67"/>
      <c r="D102" s="68"/>
      <c r="E102" s="92" t="s">
        <v>127</v>
      </c>
      <c r="F102" s="106"/>
      <c r="G102" s="67"/>
      <c r="H102" s="68"/>
      <c r="I102" s="69"/>
      <c r="J102" s="69"/>
      <c r="K102" s="49">
        <f>SUM(K91:K101)</f>
        <v>0</v>
      </c>
      <c r="L102" s="49">
        <f t="shared" ref="L102:T102" si="44">SUM(L91:L101)</f>
        <v>0</v>
      </c>
      <c r="M102" s="238">
        <f t="shared" si="44"/>
        <v>0</v>
      </c>
      <c r="N102" s="238">
        <f t="shared" si="44"/>
        <v>0</v>
      </c>
      <c r="O102" s="238">
        <f t="shared" si="44"/>
        <v>0</v>
      </c>
      <c r="P102" s="238">
        <f t="shared" si="44"/>
        <v>0</v>
      </c>
      <c r="Q102" s="238">
        <f t="shared" si="44"/>
        <v>0</v>
      </c>
      <c r="R102" s="49">
        <f t="shared" si="44"/>
        <v>0</v>
      </c>
      <c r="S102" s="49"/>
      <c r="T102" s="49">
        <f t="shared" si="44"/>
        <v>0</v>
      </c>
    </row>
    <row r="103" spans="1:20" s="12" customFormat="1" x14ac:dyDescent="0.2">
      <c r="A103" s="28"/>
      <c r="B103" s="66" t="s">
        <v>129</v>
      </c>
      <c r="C103" s="67"/>
      <c r="D103" s="68"/>
      <c r="E103" s="92" t="s">
        <v>128</v>
      </c>
      <c r="F103" s="106"/>
      <c r="G103" s="67"/>
      <c r="H103" s="68"/>
      <c r="I103" s="69"/>
      <c r="J103" s="69"/>
      <c r="K103" s="70"/>
      <c r="L103" s="70"/>
      <c r="M103" s="242"/>
      <c r="N103" s="242"/>
      <c r="O103" s="242"/>
      <c r="P103" s="242"/>
      <c r="Q103" s="242"/>
      <c r="R103" s="70"/>
      <c r="S103" s="70"/>
      <c r="T103" s="71"/>
    </row>
    <row r="104" spans="1:20" x14ac:dyDescent="0.2">
      <c r="B104" s="43">
        <v>1</v>
      </c>
      <c r="C104" s="85">
        <v>11200401</v>
      </c>
      <c r="D104" s="47" t="str">
        <f>+IF(G104="","",VLOOKUP('AFE DETAILED'!C104,'AVERAGE COST'!$B:$D,3,0))</f>
        <v>GAL</v>
      </c>
      <c r="E104" s="48">
        <f>+IF(C104="",0,VLOOKUP(C104,'AVERAGE COST'!$B$3:$E$995,4))</f>
        <v>0</v>
      </c>
      <c r="F104" s="47" t="s">
        <v>511</v>
      </c>
      <c r="G104" s="43">
        <v>112004</v>
      </c>
      <c r="H104" s="47" t="s">
        <v>128</v>
      </c>
      <c r="I104" s="155"/>
      <c r="J104" s="155"/>
      <c r="K104" s="48">
        <v>0</v>
      </c>
      <c r="L104" s="48">
        <v>0</v>
      </c>
      <c r="M104" s="237">
        <f>+IF(M4="n/a",0,$E$104*'INITIAL DATA'!C39)</f>
        <v>0</v>
      </c>
      <c r="N104" s="237">
        <f>+IF(N4="n/a",0,$E$104*'INITIAL DATA'!D39)</f>
        <v>0</v>
      </c>
      <c r="O104" s="237">
        <f>+IF(O4="n/a",0,$E$104*'INITIAL DATA'!E39)</f>
        <v>0</v>
      </c>
      <c r="P104" s="237">
        <f>+IF(P4="n/a",0,$E$104*'INITIAL DATA'!F39)</f>
        <v>0</v>
      </c>
      <c r="Q104" s="237">
        <f>+IF(Q4="n/a",0,$E$104*'INITIAL DATA'!G39)</f>
        <v>0</v>
      </c>
      <c r="R104" s="48">
        <f>+IF(R4="n/a",0,$E$104*'INITIAL DATA'!H39)</f>
        <v>0</v>
      </c>
      <c r="S104" s="48"/>
      <c r="T104" s="48">
        <f>SUM(K104:R104)</f>
        <v>0</v>
      </c>
    </row>
    <row r="105" spans="1:20" x14ac:dyDescent="0.2">
      <c r="B105" s="43">
        <v>2</v>
      </c>
      <c r="C105" s="155"/>
      <c r="D105" s="265"/>
      <c r="E105" s="266"/>
      <c r="F105" s="265"/>
      <c r="G105" s="43">
        <v>112004</v>
      </c>
      <c r="H105" s="47" t="s">
        <v>128</v>
      </c>
      <c r="I105" s="155"/>
      <c r="J105" s="155"/>
      <c r="K105" s="269">
        <v>0</v>
      </c>
      <c r="L105" s="269">
        <v>0</v>
      </c>
      <c r="M105" s="267"/>
      <c r="N105" s="267"/>
      <c r="O105" s="267"/>
      <c r="P105" s="267"/>
      <c r="Q105" s="267"/>
      <c r="R105" s="266"/>
      <c r="S105" s="48"/>
      <c r="T105" s="48">
        <f t="shared" ref="T105:T114" si="45">SUM(K105:R105)</f>
        <v>0</v>
      </c>
    </row>
    <row r="106" spans="1:20" x14ac:dyDescent="0.2">
      <c r="B106" s="43">
        <v>3</v>
      </c>
      <c r="C106" s="155"/>
      <c r="D106" s="265"/>
      <c r="E106" s="266"/>
      <c r="F106" s="265"/>
      <c r="G106" s="43">
        <v>112004</v>
      </c>
      <c r="H106" s="47" t="s">
        <v>128</v>
      </c>
      <c r="I106" s="155"/>
      <c r="J106" s="155"/>
      <c r="K106" s="269">
        <v>0</v>
      </c>
      <c r="L106" s="269">
        <v>0</v>
      </c>
      <c r="M106" s="267"/>
      <c r="N106" s="267"/>
      <c r="O106" s="267"/>
      <c r="P106" s="267"/>
      <c r="Q106" s="267"/>
      <c r="R106" s="266"/>
      <c r="S106" s="48"/>
      <c r="T106" s="48">
        <f t="shared" si="45"/>
        <v>0</v>
      </c>
    </row>
    <row r="107" spans="1:20" x14ac:dyDescent="0.2">
      <c r="B107" s="43">
        <v>4</v>
      </c>
      <c r="C107" s="155"/>
      <c r="D107" s="265"/>
      <c r="E107" s="266"/>
      <c r="F107" s="265"/>
      <c r="G107" s="43">
        <v>112004</v>
      </c>
      <c r="H107" s="47" t="s">
        <v>128</v>
      </c>
      <c r="I107" s="155"/>
      <c r="J107" s="155"/>
      <c r="K107" s="269">
        <v>0</v>
      </c>
      <c r="L107" s="269">
        <v>0</v>
      </c>
      <c r="M107" s="267"/>
      <c r="N107" s="267"/>
      <c r="O107" s="267"/>
      <c r="P107" s="267"/>
      <c r="Q107" s="267"/>
      <c r="R107" s="266"/>
      <c r="S107" s="48"/>
      <c r="T107" s="48">
        <f t="shared" si="45"/>
        <v>0</v>
      </c>
    </row>
    <row r="108" spans="1:20" x14ac:dyDescent="0.2">
      <c r="B108" s="43">
        <v>5</v>
      </c>
      <c r="C108" s="155"/>
      <c r="D108" s="265"/>
      <c r="E108" s="266"/>
      <c r="F108" s="265"/>
      <c r="G108" s="43">
        <v>112004</v>
      </c>
      <c r="H108" s="47" t="s">
        <v>128</v>
      </c>
      <c r="I108" s="155"/>
      <c r="J108" s="155"/>
      <c r="K108" s="269">
        <v>0</v>
      </c>
      <c r="L108" s="269">
        <v>0</v>
      </c>
      <c r="M108" s="267"/>
      <c r="N108" s="267"/>
      <c r="O108" s="267"/>
      <c r="P108" s="267"/>
      <c r="Q108" s="267"/>
      <c r="R108" s="266"/>
      <c r="S108" s="48"/>
      <c r="T108" s="48">
        <f t="shared" si="45"/>
        <v>0</v>
      </c>
    </row>
    <row r="109" spans="1:20" x14ac:dyDescent="0.2">
      <c r="B109" s="43">
        <v>6</v>
      </c>
      <c r="C109" s="155"/>
      <c r="D109" s="265"/>
      <c r="E109" s="266"/>
      <c r="F109" s="265"/>
      <c r="G109" s="43">
        <v>112004</v>
      </c>
      <c r="H109" s="47" t="s">
        <v>128</v>
      </c>
      <c r="I109" s="155"/>
      <c r="J109" s="155"/>
      <c r="K109" s="269">
        <v>0</v>
      </c>
      <c r="L109" s="269">
        <v>0</v>
      </c>
      <c r="M109" s="267"/>
      <c r="N109" s="267"/>
      <c r="O109" s="267"/>
      <c r="P109" s="267"/>
      <c r="Q109" s="267"/>
      <c r="R109" s="266"/>
      <c r="S109" s="48"/>
      <c r="T109" s="48">
        <f t="shared" si="45"/>
        <v>0</v>
      </c>
    </row>
    <row r="110" spans="1:20" x14ac:dyDescent="0.2">
      <c r="B110" s="43">
        <v>7</v>
      </c>
      <c r="C110" s="155"/>
      <c r="D110" s="265"/>
      <c r="E110" s="266"/>
      <c r="F110" s="265"/>
      <c r="G110" s="43">
        <v>112004</v>
      </c>
      <c r="H110" s="47" t="s">
        <v>128</v>
      </c>
      <c r="I110" s="155"/>
      <c r="J110" s="155"/>
      <c r="K110" s="269">
        <v>0</v>
      </c>
      <c r="L110" s="269">
        <v>0</v>
      </c>
      <c r="M110" s="267"/>
      <c r="N110" s="267"/>
      <c r="O110" s="267"/>
      <c r="P110" s="267"/>
      <c r="Q110" s="267"/>
      <c r="R110" s="266"/>
      <c r="S110" s="48"/>
      <c r="T110" s="48">
        <f t="shared" si="45"/>
        <v>0</v>
      </c>
    </row>
    <row r="111" spans="1:20" x14ac:dyDescent="0.2">
      <c r="B111" s="43">
        <v>8</v>
      </c>
      <c r="C111" s="155"/>
      <c r="D111" s="265"/>
      <c r="E111" s="266"/>
      <c r="F111" s="265"/>
      <c r="G111" s="43">
        <v>112004</v>
      </c>
      <c r="H111" s="47" t="s">
        <v>128</v>
      </c>
      <c r="I111" s="155"/>
      <c r="J111" s="155"/>
      <c r="K111" s="269">
        <v>0</v>
      </c>
      <c r="L111" s="269">
        <v>0</v>
      </c>
      <c r="M111" s="267"/>
      <c r="N111" s="267"/>
      <c r="O111" s="267"/>
      <c r="P111" s="267"/>
      <c r="Q111" s="267"/>
      <c r="R111" s="266"/>
      <c r="S111" s="48"/>
      <c r="T111" s="48">
        <f t="shared" si="45"/>
        <v>0</v>
      </c>
    </row>
    <row r="112" spans="1:20" x14ac:dyDescent="0.2">
      <c r="B112" s="43">
        <v>9</v>
      </c>
      <c r="C112" s="155"/>
      <c r="D112" s="265"/>
      <c r="E112" s="266"/>
      <c r="F112" s="265"/>
      <c r="G112" s="43">
        <v>112004</v>
      </c>
      <c r="H112" s="47" t="s">
        <v>128</v>
      </c>
      <c r="I112" s="155"/>
      <c r="J112" s="155"/>
      <c r="K112" s="269">
        <v>0</v>
      </c>
      <c r="L112" s="269">
        <v>0</v>
      </c>
      <c r="M112" s="267"/>
      <c r="N112" s="267"/>
      <c r="O112" s="267"/>
      <c r="P112" s="267"/>
      <c r="Q112" s="267"/>
      <c r="R112" s="266"/>
      <c r="S112" s="48"/>
      <c r="T112" s="48">
        <f t="shared" si="45"/>
        <v>0</v>
      </c>
    </row>
    <row r="113" spans="1:20" x14ac:dyDescent="0.2">
      <c r="B113" s="43">
        <v>10</v>
      </c>
      <c r="C113" s="155"/>
      <c r="D113" s="265"/>
      <c r="E113" s="266"/>
      <c r="F113" s="265"/>
      <c r="G113" s="43">
        <v>112004</v>
      </c>
      <c r="H113" s="47" t="s">
        <v>128</v>
      </c>
      <c r="I113" s="155"/>
      <c r="J113" s="155"/>
      <c r="K113" s="269">
        <v>0</v>
      </c>
      <c r="L113" s="269">
        <v>0</v>
      </c>
      <c r="M113" s="267"/>
      <c r="N113" s="267"/>
      <c r="O113" s="267"/>
      <c r="P113" s="267"/>
      <c r="Q113" s="267"/>
      <c r="R113" s="266"/>
      <c r="S113" s="48"/>
      <c r="T113" s="48">
        <f t="shared" si="45"/>
        <v>0</v>
      </c>
    </row>
    <row r="114" spans="1:20" x14ac:dyDescent="0.2">
      <c r="B114" s="43">
        <v>11</v>
      </c>
      <c r="C114" s="155"/>
      <c r="D114" s="265"/>
      <c r="E114" s="266"/>
      <c r="F114" s="265"/>
      <c r="G114" s="43">
        <v>112004</v>
      </c>
      <c r="H114" s="47" t="s">
        <v>128</v>
      </c>
      <c r="I114" s="155"/>
      <c r="J114" s="155"/>
      <c r="K114" s="269">
        <v>0</v>
      </c>
      <c r="L114" s="269">
        <v>0</v>
      </c>
      <c r="M114" s="267"/>
      <c r="N114" s="267"/>
      <c r="O114" s="267"/>
      <c r="P114" s="267"/>
      <c r="Q114" s="267"/>
      <c r="R114" s="266"/>
      <c r="S114" s="48"/>
      <c r="T114" s="48">
        <f t="shared" si="45"/>
        <v>0</v>
      </c>
    </row>
    <row r="115" spans="1:20" s="12" customFormat="1" x14ac:dyDescent="0.2">
      <c r="A115" s="28"/>
      <c r="B115" s="66" t="s">
        <v>32</v>
      </c>
      <c r="C115" s="67"/>
      <c r="D115" s="68"/>
      <c r="E115" s="92" t="s">
        <v>130</v>
      </c>
      <c r="F115" s="106"/>
      <c r="G115" s="67"/>
      <c r="H115" s="68"/>
      <c r="I115" s="69"/>
      <c r="J115" s="69"/>
      <c r="K115" s="49">
        <f>SUM(K104:K114)</f>
        <v>0</v>
      </c>
      <c r="L115" s="49">
        <f t="shared" ref="L115:T115" si="46">SUM(L104:L114)</f>
        <v>0</v>
      </c>
      <c r="M115" s="238">
        <f t="shared" si="46"/>
        <v>0</v>
      </c>
      <c r="N115" s="238">
        <f t="shared" si="46"/>
        <v>0</v>
      </c>
      <c r="O115" s="238">
        <f t="shared" si="46"/>
        <v>0</v>
      </c>
      <c r="P115" s="238">
        <f t="shared" si="46"/>
        <v>0</v>
      </c>
      <c r="Q115" s="238">
        <f t="shared" si="46"/>
        <v>0</v>
      </c>
      <c r="R115" s="49">
        <f t="shared" si="46"/>
        <v>0</v>
      </c>
      <c r="S115" s="49"/>
      <c r="T115" s="49">
        <f t="shared" si="46"/>
        <v>0</v>
      </c>
    </row>
    <row r="116" spans="1:20" s="12" customFormat="1" x14ac:dyDescent="0.2">
      <c r="A116" s="28"/>
      <c r="B116" s="66" t="s">
        <v>131</v>
      </c>
      <c r="C116" s="67"/>
      <c r="D116" s="68"/>
      <c r="E116" s="92" t="s">
        <v>132</v>
      </c>
      <c r="F116" s="106"/>
      <c r="G116" s="67"/>
      <c r="H116" s="68"/>
      <c r="I116" s="69"/>
      <c r="J116" s="69"/>
      <c r="K116" s="70"/>
      <c r="L116" s="70"/>
      <c r="M116" s="242"/>
      <c r="N116" s="242"/>
      <c r="O116" s="242"/>
      <c r="P116" s="242"/>
      <c r="Q116" s="242"/>
      <c r="R116" s="70"/>
      <c r="S116" s="70"/>
      <c r="T116" s="71"/>
    </row>
    <row r="117" spans="1:20" x14ac:dyDescent="0.2">
      <c r="B117" s="43">
        <v>1</v>
      </c>
      <c r="C117" s="43">
        <v>11200701</v>
      </c>
      <c r="D117" s="47" t="str">
        <f>+IF(G117="","",VLOOKUP('AFE DETAILED'!C117,'AVERAGE COST'!$B:$D,3,0))</f>
        <v>UNIT</v>
      </c>
      <c r="E117" s="48">
        <f>+IF(C117="",0,VLOOKUP(C117,'AVERAGE COST'!$B$3:$E$995,4))</f>
        <v>0</v>
      </c>
      <c r="F117" s="47" t="s">
        <v>135</v>
      </c>
      <c r="G117" s="43">
        <v>112007</v>
      </c>
      <c r="H117" s="47" t="s">
        <v>134</v>
      </c>
      <c r="I117" s="155"/>
      <c r="J117" s="155"/>
      <c r="K117" s="48">
        <v>0</v>
      </c>
      <c r="L117" s="48">
        <v>0</v>
      </c>
      <c r="M117" s="237">
        <f>+IF(M4="n/a",0,IF('INITIAL DATA'!C40="BUY",'AFE DETAILED'!$E$117*'INITIAL DATA'!C41,0))</f>
        <v>0</v>
      </c>
      <c r="N117" s="237">
        <f>+IF(N4="n/a",0,IF('INITIAL DATA'!D40="BUY",'AFE DETAILED'!$E$117*'INITIAL DATA'!D41,0))</f>
        <v>0</v>
      </c>
      <c r="O117" s="237">
        <f>+IF(O4="n/a",0,IF('INITIAL DATA'!E40="BUY",'AFE DETAILED'!$E$117*'INITIAL DATA'!E41,0))</f>
        <v>0</v>
      </c>
      <c r="P117" s="237">
        <f>+IF(P4="n/a",0,IF('INITIAL DATA'!F40="BUY",'AFE DETAILED'!$E$117*'INITIAL DATA'!F41,0))</f>
        <v>0</v>
      </c>
      <c r="Q117" s="237">
        <f>+IF(Q4="n/a",0,IF('INITIAL DATA'!G40="BUY",'AFE DETAILED'!$E$117*'INITIAL DATA'!G41,0))</f>
        <v>0</v>
      </c>
      <c r="R117" s="48">
        <f>+IF(R4="n/a",0,IF('INITIAL DATA'!H40="BUY",'AFE DETAILED'!$E$117*'INITIAL DATA'!H41,0))</f>
        <v>0</v>
      </c>
      <c r="S117" s="48"/>
      <c r="T117" s="48">
        <f>SUM(K117:R117)</f>
        <v>0</v>
      </c>
    </row>
    <row r="118" spans="1:20" x14ac:dyDescent="0.2">
      <c r="B118" s="43">
        <v>2</v>
      </c>
      <c r="C118" s="43">
        <v>11200702</v>
      </c>
      <c r="D118" s="47" t="str">
        <f>+IF(G118="","",VLOOKUP('AFE DETAILED'!C118,'AVERAGE COST'!$B:$D,3,0))</f>
        <v>UNIT</v>
      </c>
      <c r="E118" s="48">
        <f>+IF(C118="",0,VLOOKUP(C118,'AVERAGE COST'!$B$3:$E$995,4))</f>
        <v>0</v>
      </c>
      <c r="F118" s="47" t="s">
        <v>136</v>
      </c>
      <c r="G118" s="43">
        <v>112007</v>
      </c>
      <c r="H118" s="47" t="s">
        <v>134</v>
      </c>
      <c r="I118" s="155"/>
      <c r="J118" s="155"/>
      <c r="K118" s="48">
        <v>0</v>
      </c>
      <c r="L118" s="48">
        <v>0</v>
      </c>
      <c r="M118" s="237">
        <f>+IF(M4="n/a",0,IF('INITIAL DATA'!C40="RENT",'AFE DETAILED'!$E$118*'INITIAL DATA'!C41,0))</f>
        <v>0</v>
      </c>
      <c r="N118" s="237">
        <f>+IF(N4="n/a",0,IF('INITIAL DATA'!D40="RENT",'AFE DETAILED'!$E$118*'INITIAL DATA'!D41,0))</f>
        <v>0</v>
      </c>
      <c r="O118" s="237">
        <f>+IF(O4="n/a",0,IF('INITIAL DATA'!E40="RENT",'AFE DETAILED'!$E$118*'INITIAL DATA'!E41,0))</f>
        <v>0</v>
      </c>
      <c r="P118" s="237">
        <f>+IF(P4="n/a",0,IF('INITIAL DATA'!F40="RENT",'AFE DETAILED'!$E$118*'INITIAL DATA'!F41,0))</f>
        <v>0</v>
      </c>
      <c r="Q118" s="237">
        <f>+IF(Q4="n/a",0,IF('INITIAL DATA'!G40="RENT",'AFE DETAILED'!$E$118*'INITIAL DATA'!G41,0))</f>
        <v>0</v>
      </c>
      <c r="R118" s="48">
        <f>+IF(R4="n/a",0,IF('INITIAL DATA'!H40="RENT",'AFE DETAILED'!$E$118*'INITIAL DATA'!H41,0))</f>
        <v>0</v>
      </c>
      <c r="S118" s="48"/>
      <c r="T118" s="48">
        <f t="shared" ref="T118:T132" si="47">SUM(K118:R118)</f>
        <v>0</v>
      </c>
    </row>
    <row r="119" spans="1:20" x14ac:dyDescent="0.2">
      <c r="B119" s="43">
        <v>3</v>
      </c>
      <c r="C119" s="43">
        <v>11200703</v>
      </c>
      <c r="D119" s="47" t="str">
        <f>+IF(G119="","",VLOOKUP('AFE DETAILED'!C119,'AVERAGE COST'!$B:$D,3,0))</f>
        <v>UNIT</v>
      </c>
      <c r="E119" s="48">
        <f>+IF(C119="",0,VLOOKUP(C119,'AVERAGE COST'!$B$3:$E$995,4))</f>
        <v>0</v>
      </c>
      <c r="F119" s="47" t="s">
        <v>137</v>
      </c>
      <c r="G119" s="43">
        <v>112007</v>
      </c>
      <c r="H119" s="47" t="s">
        <v>134</v>
      </c>
      <c r="I119" s="155"/>
      <c r="J119" s="155"/>
      <c r="K119" s="48">
        <v>0</v>
      </c>
      <c r="L119" s="48">
        <v>0</v>
      </c>
      <c r="M119" s="237">
        <f>+IF(M4="n/a",0,IF('INITIAL DATA'!C42="BUY",'AFE DETAILED'!$E$119*'INITIAL DATA'!C43,0))</f>
        <v>0</v>
      </c>
      <c r="N119" s="237">
        <f>+IF(N4="n/a",0,IF('INITIAL DATA'!D42="BUY",'AFE DETAILED'!$E$119*'INITIAL DATA'!D43,0))</f>
        <v>0</v>
      </c>
      <c r="O119" s="237">
        <f>+IF(O4="n/a",0,IF('INITIAL DATA'!E42="BUY",'AFE DETAILED'!$E$119*'INITIAL DATA'!E43,0))</f>
        <v>0</v>
      </c>
      <c r="P119" s="237">
        <f>+IF(P4="n/a",0,IF('INITIAL DATA'!F42="BUY",'AFE DETAILED'!$E$119*'INITIAL DATA'!F43,0))</f>
        <v>0</v>
      </c>
      <c r="Q119" s="237">
        <f>+IF(Q4="n/a",0,IF('INITIAL DATA'!G42="BUY",'AFE DETAILED'!$E$119*'INITIAL DATA'!G43,0))</f>
        <v>0</v>
      </c>
      <c r="R119" s="48">
        <f>+IF(R4="n/a",0,IF('INITIAL DATA'!H42="BUY",'AFE DETAILED'!$E$119*'INITIAL DATA'!H43,0))</f>
        <v>0</v>
      </c>
      <c r="S119" s="48"/>
      <c r="T119" s="48">
        <f t="shared" si="47"/>
        <v>0</v>
      </c>
    </row>
    <row r="120" spans="1:20" x14ac:dyDescent="0.2">
      <c r="B120" s="43">
        <v>4</v>
      </c>
      <c r="C120" s="43">
        <v>11200704</v>
      </c>
      <c r="D120" s="47" t="str">
        <f>+IF(G120="","",VLOOKUP('AFE DETAILED'!C120,'AVERAGE COST'!$B:$D,3,0))</f>
        <v>UNIT</v>
      </c>
      <c r="E120" s="48">
        <f>+IF(C120="",0,VLOOKUP(C120,'AVERAGE COST'!$B$3:$E$995,4))</f>
        <v>0</v>
      </c>
      <c r="F120" s="47" t="s">
        <v>138</v>
      </c>
      <c r="G120" s="43">
        <v>112007</v>
      </c>
      <c r="H120" s="47" t="s">
        <v>134</v>
      </c>
      <c r="I120" s="155"/>
      <c r="J120" s="155"/>
      <c r="K120" s="48">
        <v>0</v>
      </c>
      <c r="L120" s="48">
        <v>0</v>
      </c>
      <c r="M120" s="237">
        <f>+IF(M4="n/a",0,IF('INITIAL DATA'!C42="RENT",'AFE DETAILED'!$E$120*'INITIAL DATA'!C43,0))</f>
        <v>0</v>
      </c>
      <c r="N120" s="237">
        <f>+IF(N4="n/a",0,IF('INITIAL DATA'!D42="RENT",'AFE DETAILED'!$E$120*'INITIAL DATA'!D43,0))</f>
        <v>0</v>
      </c>
      <c r="O120" s="237">
        <f>+IF(O4="n/a",0,IF('INITIAL DATA'!E42="RENT",'AFE DETAILED'!$E$120*'INITIAL DATA'!E43,0))</f>
        <v>0</v>
      </c>
      <c r="P120" s="237">
        <f>+IF(P4="n/a",0,IF('INITIAL DATA'!F42="RENT",'AFE DETAILED'!$E$120*'INITIAL DATA'!F43,0))</f>
        <v>0</v>
      </c>
      <c r="Q120" s="237">
        <f>+IF(Q4="n/a",0,IF('INITIAL DATA'!G42="RENT",'AFE DETAILED'!$E$120*'INITIAL DATA'!G43,0))</f>
        <v>0</v>
      </c>
      <c r="R120" s="48">
        <f>+IF(R4="n/a",0,IF('INITIAL DATA'!H42="RENT",'AFE DETAILED'!$E$120*'INITIAL DATA'!H43,0))</f>
        <v>0</v>
      </c>
      <c r="S120" s="48"/>
      <c r="T120" s="48">
        <f t="shared" si="47"/>
        <v>0</v>
      </c>
    </row>
    <row r="121" spans="1:20" x14ac:dyDescent="0.2">
      <c r="B121" s="43">
        <v>5</v>
      </c>
      <c r="C121" s="43">
        <v>11200705</v>
      </c>
      <c r="D121" s="47" t="str">
        <f>+IF(G121="","",VLOOKUP('AFE DETAILED'!C121,'AVERAGE COST'!$B:$D,3,0))</f>
        <v>UNIT</v>
      </c>
      <c r="E121" s="48">
        <f>+IF(C121="",0,VLOOKUP(C121,'AVERAGE COST'!$B$3:$E$995,4))</f>
        <v>0</v>
      </c>
      <c r="F121" s="47" t="s">
        <v>139</v>
      </c>
      <c r="G121" s="43">
        <v>112007</v>
      </c>
      <c r="H121" s="47" t="s">
        <v>134</v>
      </c>
      <c r="I121" s="155"/>
      <c r="J121" s="155"/>
      <c r="K121" s="48">
        <v>0</v>
      </c>
      <c r="L121" s="48">
        <v>0</v>
      </c>
      <c r="M121" s="237">
        <f>+IF(M4="n/a",0,IF('INITIAL DATA'!C44="BUY",'AFE DETAILED'!$E$121*'INITIAL DATA'!C45,0))</f>
        <v>0</v>
      </c>
      <c r="N121" s="237">
        <f>+IF(N4="n/a",0,IF('INITIAL DATA'!D44="BUY",'AFE DETAILED'!$E$121*'INITIAL DATA'!D45,0))</f>
        <v>0</v>
      </c>
      <c r="O121" s="237">
        <f>+IF(O4="n/a",0,IF('INITIAL DATA'!E44="BUY",'AFE DETAILED'!$E$121*'INITIAL DATA'!E45,0))</f>
        <v>0</v>
      </c>
      <c r="P121" s="237">
        <f>+IF(P4="n/a",0,IF('INITIAL DATA'!F44="BUY",'AFE DETAILED'!$E$121*'INITIAL DATA'!F45,0))</f>
        <v>0</v>
      </c>
      <c r="Q121" s="237">
        <f>+IF(Q4="n/a",0,IF('INITIAL DATA'!G44="BUY",'AFE DETAILED'!$E$121*'INITIAL DATA'!G45,0))</f>
        <v>0</v>
      </c>
      <c r="R121" s="48">
        <f>+IF(R4="n/a",0,IF('INITIAL DATA'!H44="BUY",'AFE DETAILED'!$E$121*'INITIAL DATA'!H45,0))</f>
        <v>0</v>
      </c>
      <c r="S121" s="48"/>
      <c r="T121" s="48">
        <f t="shared" si="47"/>
        <v>0</v>
      </c>
    </row>
    <row r="122" spans="1:20" x14ac:dyDescent="0.2">
      <c r="B122" s="43">
        <v>6</v>
      </c>
      <c r="C122" s="43">
        <v>11200706</v>
      </c>
      <c r="D122" s="47" t="str">
        <f>+IF(G122="","",VLOOKUP('AFE DETAILED'!C122,'AVERAGE COST'!$B:$D,3,0))</f>
        <v>UNIT</v>
      </c>
      <c r="E122" s="48">
        <f>+IF(C122="",0,VLOOKUP(C122,'AVERAGE COST'!$B$3:$E$995,4))</f>
        <v>0</v>
      </c>
      <c r="F122" s="47" t="s">
        <v>140</v>
      </c>
      <c r="G122" s="43">
        <v>112007</v>
      </c>
      <c r="H122" s="47" t="s">
        <v>134</v>
      </c>
      <c r="I122" s="155"/>
      <c r="J122" s="155"/>
      <c r="K122" s="48">
        <v>0</v>
      </c>
      <c r="L122" s="48">
        <v>0</v>
      </c>
      <c r="M122" s="237">
        <f>+IF(M4="n/a",0,IF('INITIAL DATA'!C44="RENT",'AFE DETAILED'!$E$122*'INITIAL DATA'!C45,0))</f>
        <v>0</v>
      </c>
      <c r="N122" s="237">
        <f>+IF(N4="n/a",0,IF('INITIAL DATA'!D44="RENT",'AFE DETAILED'!$E$122*'INITIAL DATA'!D45,0))</f>
        <v>0</v>
      </c>
      <c r="O122" s="237">
        <f>+IF(O4="n/a",0,IF('INITIAL DATA'!E44="RENT",'AFE DETAILED'!$E$122*'INITIAL DATA'!E45,0))</f>
        <v>0</v>
      </c>
      <c r="P122" s="237">
        <f>+IF(P4="n/a",0,IF('INITIAL DATA'!F44="RENT",'AFE DETAILED'!$E$122*'INITIAL DATA'!F45,0))</f>
        <v>0</v>
      </c>
      <c r="Q122" s="237">
        <f>+IF(Q4="n/a",0,IF('INITIAL DATA'!G44="RENT",'AFE DETAILED'!$E$122*'INITIAL DATA'!G45,0))</f>
        <v>0</v>
      </c>
      <c r="R122" s="48">
        <f>+IF(R4="n/a",0,IF('INITIAL DATA'!H44="RENT",'AFE DETAILED'!$E$122*'INITIAL DATA'!H45,0))</f>
        <v>0</v>
      </c>
      <c r="S122" s="48"/>
      <c r="T122" s="48">
        <f t="shared" si="47"/>
        <v>0</v>
      </c>
    </row>
    <row r="123" spans="1:20" x14ac:dyDescent="0.2">
      <c r="B123" s="43">
        <v>7</v>
      </c>
      <c r="C123" s="43">
        <v>11200707</v>
      </c>
      <c r="D123" s="47" t="str">
        <f>+IF(G123="","",VLOOKUP('AFE DETAILED'!C123,'AVERAGE COST'!$B:$D,3,0))</f>
        <v>UNIT</v>
      </c>
      <c r="E123" s="48">
        <f>+IF(C123="",0,VLOOKUP(C123,'AVERAGE COST'!$B$3:$E$995,4))</f>
        <v>0</v>
      </c>
      <c r="F123" s="47" t="s">
        <v>141</v>
      </c>
      <c r="G123" s="43">
        <v>112007</v>
      </c>
      <c r="H123" s="47" t="s">
        <v>134</v>
      </c>
      <c r="I123" s="155"/>
      <c r="J123" s="155"/>
      <c r="K123" s="48">
        <v>0</v>
      </c>
      <c r="L123" s="48">
        <v>0</v>
      </c>
      <c r="M123" s="237">
        <f>+IF(M4="n/a",0,IF('INITIAL DATA'!C46="BUY",'AFE DETAILED'!$E$123*'INITIAL DATA'!C47,0))</f>
        <v>0</v>
      </c>
      <c r="N123" s="237">
        <f>+IF(N4="n/a",0,IF('INITIAL DATA'!D46="BUY",'AFE DETAILED'!$E$123*'INITIAL DATA'!D47,0))</f>
        <v>0</v>
      </c>
      <c r="O123" s="237">
        <f>+IF(O4="n/a",0,IF('INITIAL DATA'!E46="BUY",'AFE DETAILED'!$E$123*'INITIAL DATA'!E47,0))</f>
        <v>0</v>
      </c>
      <c r="P123" s="237">
        <f>+IF(P4="n/a",0,IF('INITIAL DATA'!F46="BUY",'AFE DETAILED'!$E$123*'INITIAL DATA'!F47,0))</f>
        <v>0</v>
      </c>
      <c r="Q123" s="237">
        <f>+IF(Q4="n/a",0,IF('INITIAL DATA'!G46="BUY",'AFE DETAILED'!$E$123*'INITIAL DATA'!G47,0))</f>
        <v>0</v>
      </c>
      <c r="R123" s="48">
        <f>+IF(R4="n/a",0,IF('INITIAL DATA'!H46="BUY",'AFE DETAILED'!$E$123*'INITIAL DATA'!H47,0))</f>
        <v>0</v>
      </c>
      <c r="S123" s="48"/>
      <c r="T123" s="48">
        <f t="shared" si="47"/>
        <v>0</v>
      </c>
    </row>
    <row r="124" spans="1:20" x14ac:dyDescent="0.2">
      <c r="B124" s="43">
        <v>8</v>
      </c>
      <c r="C124" s="43">
        <v>11200708</v>
      </c>
      <c r="D124" s="47" t="str">
        <f>+IF(G124="","",VLOOKUP('AFE DETAILED'!C124,'AVERAGE COST'!$B:$D,3,0))</f>
        <v>UNIT</v>
      </c>
      <c r="E124" s="48">
        <f>+IF(C124="",0,VLOOKUP(C124,'AVERAGE COST'!$B$3:$E$995,4))</f>
        <v>0</v>
      </c>
      <c r="F124" s="47" t="s">
        <v>142</v>
      </c>
      <c r="G124" s="43">
        <v>112007</v>
      </c>
      <c r="H124" s="47" t="s">
        <v>134</v>
      </c>
      <c r="I124" s="155"/>
      <c r="J124" s="155"/>
      <c r="K124" s="48">
        <v>0</v>
      </c>
      <c r="L124" s="48">
        <v>0</v>
      </c>
      <c r="M124" s="237">
        <f>+IF(M4="n/a",0,IF('INITIAL DATA'!C46="RENT",'AFE DETAILED'!$E$124*'INITIAL DATA'!C47,0))</f>
        <v>0</v>
      </c>
      <c r="N124" s="237">
        <f>+IF(N4="n/a",0,IF('INITIAL DATA'!D46="RENT",'AFE DETAILED'!$E$124*'INITIAL DATA'!D47,0))</f>
        <v>0</v>
      </c>
      <c r="O124" s="237">
        <f>+IF(O4="n/a",0,IF('INITIAL DATA'!E46="RENT",'AFE DETAILED'!$E$124*'INITIAL DATA'!E47,0))</f>
        <v>0</v>
      </c>
      <c r="P124" s="237">
        <f>+IF(P4="n/a",0,IF('INITIAL DATA'!F46="RENT",'AFE DETAILED'!$E$124*'INITIAL DATA'!F47,0))</f>
        <v>0</v>
      </c>
      <c r="Q124" s="237">
        <f>+IF(Q4="n/a",0,IF('INITIAL DATA'!G46="RENT",'AFE DETAILED'!$E$124*'INITIAL DATA'!G47,0))</f>
        <v>0</v>
      </c>
      <c r="R124" s="48">
        <f>+IF(R4="n/a",0,IF('INITIAL DATA'!H46="RENT",'AFE DETAILED'!$E$124*'INITIAL DATA'!H47,0))</f>
        <v>0</v>
      </c>
      <c r="S124" s="48"/>
      <c r="T124" s="48">
        <f t="shared" si="47"/>
        <v>0</v>
      </c>
    </row>
    <row r="125" spans="1:20" s="27" customFormat="1" x14ac:dyDescent="0.2">
      <c r="A125" s="28"/>
      <c r="B125" s="43">
        <v>9</v>
      </c>
      <c r="C125" s="155"/>
      <c r="D125" s="265"/>
      <c r="E125" s="266"/>
      <c r="F125" s="265"/>
      <c r="G125" s="43">
        <v>112007</v>
      </c>
      <c r="H125" s="47" t="s">
        <v>134</v>
      </c>
      <c r="I125" s="155"/>
      <c r="J125" s="155"/>
      <c r="K125" s="269">
        <v>0</v>
      </c>
      <c r="L125" s="269">
        <v>0</v>
      </c>
      <c r="M125" s="267"/>
      <c r="N125" s="267"/>
      <c r="O125" s="267"/>
      <c r="P125" s="267"/>
      <c r="Q125" s="267"/>
      <c r="R125" s="266"/>
      <c r="S125" s="48"/>
      <c r="T125" s="48">
        <f t="shared" si="47"/>
        <v>0</v>
      </c>
    </row>
    <row r="126" spans="1:20" s="27" customFormat="1" x14ac:dyDescent="0.2">
      <c r="A126" s="28"/>
      <c r="B126" s="43">
        <v>10</v>
      </c>
      <c r="C126" s="155"/>
      <c r="D126" s="265"/>
      <c r="E126" s="266"/>
      <c r="F126" s="265"/>
      <c r="G126" s="43">
        <v>112007</v>
      </c>
      <c r="H126" s="47" t="s">
        <v>134</v>
      </c>
      <c r="I126" s="155"/>
      <c r="J126" s="155"/>
      <c r="K126" s="269">
        <v>0</v>
      </c>
      <c r="L126" s="269">
        <v>0</v>
      </c>
      <c r="M126" s="267"/>
      <c r="N126" s="267"/>
      <c r="O126" s="267"/>
      <c r="P126" s="267"/>
      <c r="Q126" s="267"/>
      <c r="R126" s="266"/>
      <c r="S126" s="48"/>
      <c r="T126" s="48">
        <f t="shared" si="47"/>
        <v>0</v>
      </c>
    </row>
    <row r="127" spans="1:20" s="27" customFormat="1" x14ac:dyDescent="0.2">
      <c r="A127" s="28"/>
      <c r="B127" s="43">
        <v>11</v>
      </c>
      <c r="C127" s="155"/>
      <c r="D127" s="265"/>
      <c r="E127" s="266"/>
      <c r="F127" s="265"/>
      <c r="G127" s="43">
        <v>112007</v>
      </c>
      <c r="H127" s="47" t="s">
        <v>134</v>
      </c>
      <c r="I127" s="155"/>
      <c r="J127" s="155"/>
      <c r="K127" s="269">
        <v>0</v>
      </c>
      <c r="L127" s="269">
        <v>0</v>
      </c>
      <c r="M127" s="267"/>
      <c r="N127" s="267"/>
      <c r="O127" s="267"/>
      <c r="P127" s="267"/>
      <c r="Q127" s="267"/>
      <c r="R127" s="266"/>
      <c r="S127" s="48"/>
      <c r="T127" s="48">
        <f t="shared" si="47"/>
        <v>0</v>
      </c>
    </row>
    <row r="128" spans="1:20" s="27" customFormat="1" x14ac:dyDescent="0.2">
      <c r="A128" s="28"/>
      <c r="B128" s="43">
        <v>12</v>
      </c>
      <c r="C128" s="155"/>
      <c r="D128" s="265"/>
      <c r="E128" s="266"/>
      <c r="F128" s="265"/>
      <c r="G128" s="43">
        <v>112007</v>
      </c>
      <c r="H128" s="47" t="s">
        <v>134</v>
      </c>
      <c r="I128" s="155"/>
      <c r="J128" s="155"/>
      <c r="K128" s="269">
        <v>0</v>
      </c>
      <c r="L128" s="269">
        <v>0</v>
      </c>
      <c r="M128" s="267"/>
      <c r="N128" s="267"/>
      <c r="O128" s="267"/>
      <c r="P128" s="267"/>
      <c r="Q128" s="267"/>
      <c r="R128" s="266"/>
      <c r="S128" s="48"/>
      <c r="T128" s="48">
        <f t="shared" si="47"/>
        <v>0</v>
      </c>
    </row>
    <row r="129" spans="1:20" s="27" customFormat="1" x14ac:dyDescent="0.2">
      <c r="A129" s="28"/>
      <c r="B129" s="43">
        <v>13</v>
      </c>
      <c r="C129" s="155"/>
      <c r="D129" s="265"/>
      <c r="E129" s="266"/>
      <c r="F129" s="265"/>
      <c r="G129" s="43">
        <v>112007</v>
      </c>
      <c r="H129" s="47" t="s">
        <v>134</v>
      </c>
      <c r="I129" s="155"/>
      <c r="J129" s="155"/>
      <c r="K129" s="269">
        <v>0</v>
      </c>
      <c r="L129" s="269">
        <v>0</v>
      </c>
      <c r="M129" s="267"/>
      <c r="N129" s="267"/>
      <c r="O129" s="267"/>
      <c r="P129" s="267"/>
      <c r="Q129" s="267"/>
      <c r="R129" s="266"/>
      <c r="S129" s="48"/>
      <c r="T129" s="48">
        <f t="shared" si="47"/>
        <v>0</v>
      </c>
    </row>
    <row r="130" spans="1:20" s="27" customFormat="1" x14ac:dyDescent="0.2">
      <c r="A130" s="28"/>
      <c r="B130" s="43">
        <v>14</v>
      </c>
      <c r="C130" s="155"/>
      <c r="D130" s="265"/>
      <c r="E130" s="266"/>
      <c r="F130" s="265"/>
      <c r="G130" s="43">
        <v>112007</v>
      </c>
      <c r="H130" s="47" t="s">
        <v>134</v>
      </c>
      <c r="I130" s="155"/>
      <c r="J130" s="155"/>
      <c r="K130" s="269">
        <v>0</v>
      </c>
      <c r="L130" s="269">
        <v>0</v>
      </c>
      <c r="M130" s="267"/>
      <c r="N130" s="267"/>
      <c r="O130" s="267"/>
      <c r="P130" s="267"/>
      <c r="Q130" s="267"/>
      <c r="R130" s="266"/>
      <c r="S130" s="48"/>
      <c r="T130" s="48">
        <f t="shared" si="47"/>
        <v>0</v>
      </c>
    </row>
    <row r="131" spans="1:20" s="27" customFormat="1" x14ac:dyDescent="0.2">
      <c r="A131" s="28"/>
      <c r="B131" s="43">
        <v>15</v>
      </c>
      <c r="C131" s="155"/>
      <c r="D131" s="265"/>
      <c r="E131" s="266"/>
      <c r="F131" s="265"/>
      <c r="G131" s="43">
        <v>112007</v>
      </c>
      <c r="H131" s="47" t="s">
        <v>134</v>
      </c>
      <c r="I131" s="155"/>
      <c r="J131" s="155"/>
      <c r="K131" s="269">
        <v>0</v>
      </c>
      <c r="L131" s="269">
        <v>0</v>
      </c>
      <c r="M131" s="267"/>
      <c r="N131" s="267"/>
      <c r="O131" s="267"/>
      <c r="P131" s="267"/>
      <c r="Q131" s="267"/>
      <c r="R131" s="266"/>
      <c r="S131" s="48"/>
      <c r="T131" s="48">
        <f t="shared" si="47"/>
        <v>0</v>
      </c>
    </row>
    <row r="132" spans="1:20" s="27" customFormat="1" x14ac:dyDescent="0.2">
      <c r="A132" s="28"/>
      <c r="B132" s="43">
        <v>16</v>
      </c>
      <c r="C132" s="155"/>
      <c r="D132" s="265"/>
      <c r="E132" s="266"/>
      <c r="F132" s="265"/>
      <c r="G132" s="43">
        <v>112007</v>
      </c>
      <c r="H132" s="47" t="s">
        <v>134</v>
      </c>
      <c r="I132" s="155"/>
      <c r="J132" s="155"/>
      <c r="K132" s="269">
        <v>0</v>
      </c>
      <c r="L132" s="269">
        <v>0</v>
      </c>
      <c r="M132" s="267"/>
      <c r="N132" s="267"/>
      <c r="O132" s="267"/>
      <c r="P132" s="267"/>
      <c r="Q132" s="267"/>
      <c r="R132" s="266"/>
      <c r="S132" s="48"/>
      <c r="T132" s="48">
        <f t="shared" si="47"/>
        <v>0</v>
      </c>
    </row>
    <row r="133" spans="1:20" s="12" customFormat="1" x14ac:dyDescent="0.2">
      <c r="A133" s="28"/>
      <c r="B133" s="66" t="s">
        <v>32</v>
      </c>
      <c r="C133" s="67"/>
      <c r="D133" s="68"/>
      <c r="E133" s="92" t="s">
        <v>133</v>
      </c>
      <c r="F133" s="106"/>
      <c r="G133" s="67"/>
      <c r="H133" s="68"/>
      <c r="I133" s="69"/>
      <c r="J133" s="69"/>
      <c r="K133" s="49">
        <f>SUM(K117:K132)</f>
        <v>0</v>
      </c>
      <c r="L133" s="49">
        <f t="shared" ref="L133:T133" si="48">SUM(L117:L132)</f>
        <v>0</v>
      </c>
      <c r="M133" s="238">
        <f t="shared" si="48"/>
        <v>0</v>
      </c>
      <c r="N133" s="238">
        <f t="shared" si="48"/>
        <v>0</v>
      </c>
      <c r="O133" s="238">
        <f t="shared" si="48"/>
        <v>0</v>
      </c>
      <c r="P133" s="238">
        <f t="shared" si="48"/>
        <v>0</v>
      </c>
      <c r="Q133" s="238">
        <f t="shared" si="48"/>
        <v>0</v>
      </c>
      <c r="R133" s="49">
        <f t="shared" si="48"/>
        <v>0</v>
      </c>
      <c r="S133" s="49"/>
      <c r="T133" s="49">
        <f t="shared" si="48"/>
        <v>0</v>
      </c>
    </row>
    <row r="134" spans="1:20" s="12" customFormat="1" x14ac:dyDescent="0.2">
      <c r="A134" s="28"/>
      <c r="B134" s="55" t="s">
        <v>109</v>
      </c>
      <c r="C134" s="56"/>
      <c r="D134" s="57"/>
      <c r="E134" s="82" t="s">
        <v>143</v>
      </c>
      <c r="F134" s="102"/>
      <c r="G134" s="58"/>
      <c r="H134" s="100"/>
      <c r="I134" s="58"/>
      <c r="J134" s="58"/>
      <c r="K134" s="50">
        <f>+K81+K89+K102+K115+K133</f>
        <v>0</v>
      </c>
      <c r="L134" s="50">
        <f t="shared" ref="L134:T134" si="49">+L81+L89+L102+L115+L133</f>
        <v>0</v>
      </c>
      <c r="M134" s="239">
        <f t="shared" si="49"/>
        <v>0</v>
      </c>
      <c r="N134" s="239">
        <f t="shared" si="49"/>
        <v>0</v>
      </c>
      <c r="O134" s="239">
        <f t="shared" si="49"/>
        <v>0</v>
      </c>
      <c r="P134" s="239">
        <f t="shared" si="49"/>
        <v>0</v>
      </c>
      <c r="Q134" s="239">
        <f t="shared" si="49"/>
        <v>0</v>
      </c>
      <c r="R134" s="50">
        <f t="shared" si="49"/>
        <v>0</v>
      </c>
      <c r="S134" s="50"/>
      <c r="T134" s="50">
        <f t="shared" si="49"/>
        <v>0</v>
      </c>
    </row>
    <row r="135" spans="1:20" x14ac:dyDescent="0.2">
      <c r="K135" s="29"/>
      <c r="L135" s="29"/>
      <c r="M135" s="240"/>
      <c r="N135" s="240"/>
      <c r="O135" s="240"/>
      <c r="P135" s="240"/>
      <c r="Q135" s="240"/>
      <c r="R135" s="29"/>
      <c r="S135" s="29"/>
      <c r="T135" s="29"/>
    </row>
    <row r="136" spans="1:20" s="12" customFormat="1" x14ac:dyDescent="0.2">
      <c r="A136" s="28"/>
      <c r="B136" s="72" t="s">
        <v>144</v>
      </c>
      <c r="C136" s="73"/>
      <c r="D136" s="74"/>
      <c r="E136" s="93" t="s">
        <v>146</v>
      </c>
      <c r="F136" s="104"/>
      <c r="G136" s="73"/>
      <c r="H136" s="74"/>
      <c r="I136" s="73"/>
      <c r="J136" s="73"/>
      <c r="K136" s="75"/>
      <c r="L136" s="75"/>
      <c r="M136" s="241"/>
      <c r="N136" s="241"/>
      <c r="O136" s="241"/>
      <c r="P136" s="241"/>
      <c r="Q136" s="241"/>
      <c r="R136" s="75"/>
      <c r="S136" s="75"/>
      <c r="T136" s="76"/>
    </row>
    <row r="137" spans="1:20" s="12" customFormat="1" x14ac:dyDescent="0.2">
      <c r="A137" s="28"/>
      <c r="B137" s="51" t="s">
        <v>145</v>
      </c>
      <c r="C137" s="52"/>
      <c r="D137" s="53"/>
      <c r="E137" s="91" t="s">
        <v>147</v>
      </c>
      <c r="F137" s="105"/>
      <c r="G137" s="52"/>
      <c r="H137" s="53"/>
      <c r="I137" s="54"/>
      <c r="J137" s="54"/>
      <c r="K137" s="64"/>
      <c r="L137" s="64"/>
      <c r="M137" s="236"/>
      <c r="N137" s="236"/>
      <c r="O137" s="236"/>
      <c r="P137" s="236"/>
      <c r="Q137" s="236"/>
      <c r="R137" s="64"/>
      <c r="S137" s="64"/>
      <c r="T137" s="65"/>
    </row>
    <row r="138" spans="1:20" ht="25.5" x14ac:dyDescent="0.2">
      <c r="B138" s="43">
        <v>1</v>
      </c>
      <c r="C138" s="85">
        <v>11300101</v>
      </c>
      <c r="D138" s="47" t="str">
        <f>+IF(G138="","",VLOOKUP('AFE DETAILED'!C138,'AVERAGE COST'!$B:$D,3,0))</f>
        <v>UNIT</v>
      </c>
      <c r="E138" s="48">
        <f>+IF(C138="",0,VLOOKUP(C138,'AVERAGE COST'!$B$3:$E$995,4))</f>
        <v>0</v>
      </c>
      <c r="F138" s="47" t="s">
        <v>149</v>
      </c>
      <c r="G138" s="43">
        <v>113001</v>
      </c>
      <c r="H138" s="47" t="s">
        <v>148</v>
      </c>
      <c r="I138" s="155"/>
      <c r="J138" s="155"/>
      <c r="K138" s="48">
        <v>0</v>
      </c>
      <c r="L138" s="48">
        <v>0</v>
      </c>
      <c r="M138" s="237">
        <f>+IF(M4="N/A",0,IF(OR(M140&lt;&gt;0,M141&lt;&gt;0,M142&lt;&gt;0,M143&lt;&gt;0),$E$138,0))</f>
        <v>0</v>
      </c>
      <c r="N138" s="237">
        <f>+IF(N4="N/A",0,IF(OR(N140&lt;&gt;0,N141&lt;&gt;0,N142&lt;&gt;0,N143&lt;&gt;0),$E$138,0))</f>
        <v>0</v>
      </c>
      <c r="O138" s="237">
        <f t="shared" ref="O138:R138" si="50">+IF(O4="N/A",0,IF(OR(O140&lt;&gt;0,O141&lt;&gt;0,O142&lt;&gt;0,O143&lt;&gt;0),$E$138,0))</f>
        <v>0</v>
      </c>
      <c r="P138" s="237">
        <f t="shared" si="50"/>
        <v>0</v>
      </c>
      <c r="Q138" s="237">
        <f t="shared" si="50"/>
        <v>0</v>
      </c>
      <c r="R138" s="48">
        <f t="shared" si="50"/>
        <v>0</v>
      </c>
      <c r="S138" s="48"/>
      <c r="T138" s="48">
        <f>SUM(K138:R138)</f>
        <v>0</v>
      </c>
    </row>
    <row r="139" spans="1:20" ht="25.5" x14ac:dyDescent="0.2">
      <c r="B139" s="43">
        <v>2</v>
      </c>
      <c r="C139" s="85">
        <v>11300102</v>
      </c>
      <c r="D139" s="47" t="str">
        <f>+IF(G139="","",VLOOKUP('AFE DETAILED'!C139,'AVERAGE COST'!$B:$D,3,0))</f>
        <v>DAY</v>
      </c>
      <c r="E139" s="48">
        <f>+IF(C139="",0,VLOOKUP(C139,'AVERAGE COST'!$B$3:$E$995,4))</f>
        <v>0</v>
      </c>
      <c r="F139" s="47" t="s">
        <v>150</v>
      </c>
      <c r="G139" s="43">
        <v>113001</v>
      </c>
      <c r="H139" s="47" t="s">
        <v>148</v>
      </c>
      <c r="I139" s="155"/>
      <c r="J139" s="155"/>
      <c r="K139" s="48">
        <v>0</v>
      </c>
      <c r="L139" s="48">
        <v>0</v>
      </c>
      <c r="M139" s="237">
        <f>+IF(M4="N/A",0,IF(M138=0,0,$E$139))</f>
        <v>0</v>
      </c>
      <c r="N139" s="237">
        <f t="shared" ref="N139:R139" si="51">+IF(N4="N/A",0,IF(N138=0,0,$E$139))</f>
        <v>0</v>
      </c>
      <c r="O139" s="237">
        <f t="shared" si="51"/>
        <v>0</v>
      </c>
      <c r="P139" s="237">
        <f t="shared" si="51"/>
        <v>0</v>
      </c>
      <c r="Q139" s="237">
        <f t="shared" si="51"/>
        <v>0</v>
      </c>
      <c r="R139" s="48">
        <f t="shared" si="51"/>
        <v>0</v>
      </c>
      <c r="S139" s="48"/>
      <c r="T139" s="48">
        <f t="shared" ref="T139:T152" si="52">SUM(K139:R139)</f>
        <v>0</v>
      </c>
    </row>
    <row r="140" spans="1:20" ht="25.5" x14ac:dyDescent="0.2">
      <c r="B140" s="43">
        <v>3</v>
      </c>
      <c r="C140" s="85">
        <v>11300103</v>
      </c>
      <c r="D140" s="47" t="str">
        <f>+IF(G140="","",VLOOKUP('AFE DETAILED'!C140,'AVERAGE COST'!$B:$D,3,0))</f>
        <v>UNIT</v>
      </c>
      <c r="E140" s="48">
        <f>+IF(C140="",0,VLOOKUP(C140,'AVERAGE COST'!$B$3:$E$995,4))</f>
        <v>0</v>
      </c>
      <c r="F140" s="47" t="s">
        <v>151</v>
      </c>
      <c r="G140" s="43">
        <v>113001</v>
      </c>
      <c r="H140" s="47" t="s">
        <v>148</v>
      </c>
      <c r="I140" s="155"/>
      <c r="J140" s="155"/>
      <c r="K140" s="48">
        <v>0</v>
      </c>
      <c r="L140" s="48">
        <v>0</v>
      </c>
      <c r="M140" s="237">
        <f>+IF(M4="N/A",0,IF('INITIAL DATA'!C51="YES",'AFE DETAILED'!$E$140,0))</f>
        <v>0</v>
      </c>
      <c r="N140" s="237">
        <f>+IF(N4="N/A",0,IF('INITIAL DATA'!D51="YES",'AFE DETAILED'!$E$140,0))</f>
        <v>0</v>
      </c>
      <c r="O140" s="237">
        <f>+IF(O4="N/A",0,IF('INITIAL DATA'!E51="YES",'AFE DETAILED'!$E$140,0))</f>
        <v>0</v>
      </c>
      <c r="P140" s="237">
        <f>+IF(P4="N/A",0,IF('INITIAL DATA'!F51="YES",'AFE DETAILED'!$E$140,0))</f>
        <v>0</v>
      </c>
      <c r="Q140" s="237">
        <f>+IF(Q4="N/A",0,IF('INITIAL DATA'!G51="YES",'AFE DETAILED'!$E$140,0))</f>
        <v>0</v>
      </c>
      <c r="R140" s="48">
        <f>+IF(R4="N/A",0,IF('INITIAL DATA'!H51="YES",'AFE DETAILED'!$E$140,0))</f>
        <v>0</v>
      </c>
      <c r="S140" s="48"/>
      <c r="T140" s="48">
        <f t="shared" si="52"/>
        <v>0</v>
      </c>
    </row>
    <row r="141" spans="1:20" ht="25.5" x14ac:dyDescent="0.2">
      <c r="B141" s="43">
        <v>4</v>
      </c>
      <c r="C141" s="85">
        <v>11300104</v>
      </c>
      <c r="D141" s="47" t="str">
        <f>+IF(G141="","",VLOOKUP('AFE DETAILED'!C141,'AVERAGE COST'!$B:$D,3,0))</f>
        <v>UNIT</v>
      </c>
      <c r="E141" s="48">
        <f>+IF(C141="",0,VLOOKUP(C141,'AVERAGE COST'!$B$3:$E$995,4))</f>
        <v>0</v>
      </c>
      <c r="F141" s="47" t="s">
        <v>152</v>
      </c>
      <c r="G141" s="43">
        <v>113001</v>
      </c>
      <c r="H141" s="47" t="s">
        <v>148</v>
      </c>
      <c r="I141" s="155"/>
      <c r="J141" s="155"/>
      <c r="K141" s="48">
        <v>0</v>
      </c>
      <c r="L141" s="48">
        <v>0</v>
      </c>
      <c r="M141" s="237">
        <f>+IF(M4="N/A",0,IF('INITIAL DATA'!C52="YES",'AFE DETAILED'!$E$141,0))</f>
        <v>0</v>
      </c>
      <c r="N141" s="237">
        <f>+IF(N4="N/A",0,IF('INITIAL DATA'!D52="YES",'AFE DETAILED'!$E$141,0))</f>
        <v>0</v>
      </c>
      <c r="O141" s="237">
        <f>+IF(O4="N/A",0,IF('INITIAL DATA'!E52="YES",'AFE DETAILED'!$E$141,0))</f>
        <v>0</v>
      </c>
      <c r="P141" s="237">
        <f>+IF(P4="N/A",0,IF('INITIAL DATA'!F52="YES",'AFE DETAILED'!$E$141,0))</f>
        <v>0</v>
      </c>
      <c r="Q141" s="237">
        <f>+IF(Q4="N/A",0,IF('INITIAL DATA'!G52="YES",'AFE DETAILED'!$E$141,0))</f>
        <v>0</v>
      </c>
      <c r="R141" s="48">
        <f>+IF(R4="N/A",0,IF('INITIAL DATA'!H52="YES",'AFE DETAILED'!$E$141,0))</f>
        <v>0</v>
      </c>
      <c r="S141" s="48"/>
      <c r="T141" s="48">
        <f t="shared" si="52"/>
        <v>0</v>
      </c>
    </row>
    <row r="142" spans="1:20" ht="25.5" x14ac:dyDescent="0.2">
      <c r="B142" s="43">
        <v>5</v>
      </c>
      <c r="C142" s="85">
        <v>11300105</v>
      </c>
      <c r="D142" s="47" t="str">
        <f>+IF(G142="","",VLOOKUP('AFE DETAILED'!C142,'AVERAGE COST'!$B:$D,3,0))</f>
        <v>UNIT</v>
      </c>
      <c r="E142" s="48">
        <f>+IF(C142="",0,VLOOKUP(C142,'AVERAGE COST'!$B$3:$E$995,4))</f>
        <v>0</v>
      </c>
      <c r="F142" s="47" t="s">
        <v>153</v>
      </c>
      <c r="G142" s="43">
        <v>113001</v>
      </c>
      <c r="H142" s="47" t="s">
        <v>148</v>
      </c>
      <c r="I142" s="155"/>
      <c r="J142" s="155"/>
      <c r="K142" s="48">
        <v>0</v>
      </c>
      <c r="L142" s="48">
        <v>0</v>
      </c>
      <c r="M142" s="237">
        <f>+IF(M4="N/A",0,IF('INITIAL DATA'!C53="YES",'AFE DETAILED'!$E$142,0))</f>
        <v>0</v>
      </c>
      <c r="N142" s="237">
        <f>+IF(N4="N/A",0,IF('INITIAL DATA'!D53="YES",'AFE DETAILED'!$E$142,0))</f>
        <v>0</v>
      </c>
      <c r="O142" s="237">
        <f>+IF(O4="N/A",0,IF('INITIAL DATA'!E53="YES",'AFE DETAILED'!$E$142,0))</f>
        <v>0</v>
      </c>
      <c r="P142" s="237">
        <f>+IF(P4="N/A",0,IF('INITIAL DATA'!F53="YES",'AFE DETAILED'!$E$142,0))</f>
        <v>0</v>
      </c>
      <c r="Q142" s="237">
        <f>+IF(Q4="N/A",0,IF('INITIAL DATA'!G53="YES",'AFE DETAILED'!$E$142,0))</f>
        <v>0</v>
      </c>
      <c r="R142" s="48">
        <f>+IF(R4="N/A",0,IF('INITIAL DATA'!H53="YES",'AFE DETAILED'!$E$142,0))</f>
        <v>0</v>
      </c>
      <c r="S142" s="48"/>
      <c r="T142" s="48">
        <f t="shared" si="52"/>
        <v>0</v>
      </c>
    </row>
    <row r="143" spans="1:20" ht="25.5" x14ac:dyDescent="0.2">
      <c r="B143" s="43">
        <v>6</v>
      </c>
      <c r="C143" s="85">
        <v>11300106</v>
      </c>
      <c r="D143" s="47" t="str">
        <f>+IF(G143="","",VLOOKUP('AFE DETAILED'!C143,'AVERAGE COST'!$B:$D,3,0))</f>
        <v>UNIT</v>
      </c>
      <c r="E143" s="48">
        <f>+IF(C143="",0,VLOOKUP(C143,'AVERAGE COST'!$B$3:$E$995,4))</f>
        <v>0</v>
      </c>
      <c r="F143" s="47" t="s">
        <v>154</v>
      </c>
      <c r="G143" s="43">
        <v>113001</v>
      </c>
      <c r="H143" s="47" t="s">
        <v>148</v>
      </c>
      <c r="I143" s="155"/>
      <c r="J143" s="155"/>
      <c r="K143" s="48">
        <v>0</v>
      </c>
      <c r="L143" s="48">
        <v>0</v>
      </c>
      <c r="M143" s="237">
        <f>+IF(M4="N/A",0,IF('INITIAL DATA'!C54="YES",'AFE DETAILED'!$E$143,0))</f>
        <v>0</v>
      </c>
      <c r="N143" s="237">
        <f>+IF(N4="N/A",0,IF('INITIAL DATA'!D54="YES",'AFE DETAILED'!$E$143,0))</f>
        <v>0</v>
      </c>
      <c r="O143" s="237">
        <f>+IF(O4="N/A",0,IF('INITIAL DATA'!E54="YES",'AFE DETAILED'!$E$143,0))</f>
        <v>0</v>
      </c>
      <c r="P143" s="237">
        <f>+IF(P4="N/A",0,IF('INITIAL DATA'!F54="YES",'AFE DETAILED'!$E$143,0))</f>
        <v>0</v>
      </c>
      <c r="Q143" s="237">
        <f>+IF(Q4="N/A",0,IF('INITIAL DATA'!G54="YES",'AFE DETAILED'!$E$143,0))</f>
        <v>0</v>
      </c>
      <c r="R143" s="48">
        <f>+IF(R4="N/A",0,IF('INITIAL DATA'!H54="YES",'AFE DETAILED'!$E$143,0))</f>
        <v>0</v>
      </c>
      <c r="S143" s="48"/>
      <c r="T143" s="48">
        <f t="shared" si="52"/>
        <v>0</v>
      </c>
    </row>
    <row r="144" spans="1:20" ht="25.5" x14ac:dyDescent="0.2">
      <c r="B144" s="43">
        <v>7</v>
      </c>
      <c r="C144" s="155"/>
      <c r="D144" s="265"/>
      <c r="E144" s="266"/>
      <c r="F144" s="265"/>
      <c r="G144" s="43">
        <v>113001</v>
      </c>
      <c r="H144" s="47" t="s">
        <v>148</v>
      </c>
      <c r="I144" s="155"/>
      <c r="J144" s="155"/>
      <c r="K144" s="269">
        <v>0</v>
      </c>
      <c r="L144" s="269">
        <v>0</v>
      </c>
      <c r="M144" s="267"/>
      <c r="N144" s="267"/>
      <c r="O144" s="267"/>
      <c r="P144" s="267"/>
      <c r="Q144" s="267"/>
      <c r="R144" s="266"/>
      <c r="S144" s="48"/>
      <c r="T144" s="48">
        <f t="shared" si="52"/>
        <v>0</v>
      </c>
    </row>
    <row r="145" spans="1:20" ht="25.5" x14ac:dyDescent="0.2">
      <c r="B145" s="43">
        <v>8</v>
      </c>
      <c r="C145" s="155"/>
      <c r="D145" s="265"/>
      <c r="E145" s="266"/>
      <c r="F145" s="265"/>
      <c r="G145" s="43">
        <v>113001</v>
      </c>
      <c r="H145" s="47" t="s">
        <v>148</v>
      </c>
      <c r="I145" s="155"/>
      <c r="J145" s="155"/>
      <c r="K145" s="269">
        <v>0</v>
      </c>
      <c r="L145" s="269">
        <v>0</v>
      </c>
      <c r="M145" s="267"/>
      <c r="N145" s="267"/>
      <c r="O145" s="267"/>
      <c r="P145" s="267"/>
      <c r="Q145" s="267"/>
      <c r="R145" s="266"/>
      <c r="S145" s="48"/>
      <c r="T145" s="48">
        <f t="shared" si="52"/>
        <v>0</v>
      </c>
    </row>
    <row r="146" spans="1:20" ht="25.5" x14ac:dyDescent="0.2">
      <c r="B146" s="43">
        <v>9</v>
      </c>
      <c r="C146" s="155"/>
      <c r="D146" s="265"/>
      <c r="E146" s="266"/>
      <c r="F146" s="265"/>
      <c r="G146" s="43">
        <v>113001</v>
      </c>
      <c r="H146" s="47" t="s">
        <v>148</v>
      </c>
      <c r="I146" s="155"/>
      <c r="J146" s="155"/>
      <c r="K146" s="269">
        <v>0</v>
      </c>
      <c r="L146" s="269">
        <v>0</v>
      </c>
      <c r="M146" s="267"/>
      <c r="N146" s="267"/>
      <c r="O146" s="267"/>
      <c r="P146" s="267"/>
      <c r="Q146" s="267"/>
      <c r="R146" s="266"/>
      <c r="S146" s="48"/>
      <c r="T146" s="48">
        <f t="shared" si="52"/>
        <v>0</v>
      </c>
    </row>
    <row r="147" spans="1:20" ht="25.5" x14ac:dyDescent="0.2">
      <c r="B147" s="43">
        <v>10</v>
      </c>
      <c r="C147" s="155"/>
      <c r="D147" s="265"/>
      <c r="E147" s="266"/>
      <c r="F147" s="265"/>
      <c r="G147" s="43">
        <v>113001</v>
      </c>
      <c r="H147" s="47" t="s">
        <v>148</v>
      </c>
      <c r="I147" s="155"/>
      <c r="J147" s="155"/>
      <c r="K147" s="269">
        <v>0</v>
      </c>
      <c r="L147" s="269">
        <v>0</v>
      </c>
      <c r="M147" s="267"/>
      <c r="N147" s="267"/>
      <c r="O147" s="267"/>
      <c r="P147" s="267"/>
      <c r="Q147" s="267"/>
      <c r="R147" s="266"/>
      <c r="S147" s="48"/>
      <c r="T147" s="48">
        <f t="shared" si="52"/>
        <v>0</v>
      </c>
    </row>
    <row r="148" spans="1:20" ht="25.5" x14ac:dyDescent="0.2">
      <c r="B148" s="43">
        <v>11</v>
      </c>
      <c r="C148" s="155"/>
      <c r="D148" s="265"/>
      <c r="E148" s="266"/>
      <c r="F148" s="265"/>
      <c r="G148" s="43">
        <v>113001</v>
      </c>
      <c r="H148" s="47" t="s">
        <v>148</v>
      </c>
      <c r="I148" s="155"/>
      <c r="J148" s="155"/>
      <c r="K148" s="269">
        <v>0</v>
      </c>
      <c r="L148" s="269">
        <v>0</v>
      </c>
      <c r="M148" s="267"/>
      <c r="N148" s="267"/>
      <c r="O148" s="267"/>
      <c r="P148" s="267"/>
      <c r="Q148" s="267"/>
      <c r="R148" s="266"/>
      <c r="S148" s="48"/>
      <c r="T148" s="48">
        <f t="shared" si="52"/>
        <v>0</v>
      </c>
    </row>
    <row r="149" spans="1:20" ht="25.5" x14ac:dyDescent="0.2">
      <c r="B149" s="43">
        <v>12</v>
      </c>
      <c r="C149" s="155"/>
      <c r="D149" s="265"/>
      <c r="E149" s="266"/>
      <c r="F149" s="265"/>
      <c r="G149" s="43">
        <v>113001</v>
      </c>
      <c r="H149" s="47" t="s">
        <v>148</v>
      </c>
      <c r="I149" s="155"/>
      <c r="J149" s="155"/>
      <c r="K149" s="269">
        <v>0</v>
      </c>
      <c r="L149" s="269">
        <v>0</v>
      </c>
      <c r="M149" s="267"/>
      <c r="N149" s="267"/>
      <c r="O149" s="267"/>
      <c r="P149" s="267"/>
      <c r="Q149" s="267"/>
      <c r="R149" s="266"/>
      <c r="S149" s="48"/>
      <c r="T149" s="48">
        <f t="shared" si="52"/>
        <v>0</v>
      </c>
    </row>
    <row r="150" spans="1:20" ht="25.5" x14ac:dyDescent="0.2">
      <c r="B150" s="43">
        <v>13</v>
      </c>
      <c r="C150" s="155"/>
      <c r="D150" s="265"/>
      <c r="E150" s="266"/>
      <c r="F150" s="265"/>
      <c r="G150" s="43">
        <v>113001</v>
      </c>
      <c r="H150" s="47" t="s">
        <v>148</v>
      </c>
      <c r="I150" s="155"/>
      <c r="J150" s="155"/>
      <c r="K150" s="269">
        <v>0</v>
      </c>
      <c r="L150" s="269">
        <v>0</v>
      </c>
      <c r="M150" s="267"/>
      <c r="N150" s="267"/>
      <c r="O150" s="267"/>
      <c r="P150" s="267"/>
      <c r="Q150" s="267"/>
      <c r="R150" s="266"/>
      <c r="S150" s="48"/>
      <c r="T150" s="48">
        <f t="shared" si="52"/>
        <v>0</v>
      </c>
    </row>
    <row r="151" spans="1:20" ht="25.5" x14ac:dyDescent="0.2">
      <c r="B151" s="43">
        <v>14</v>
      </c>
      <c r="C151" s="155"/>
      <c r="D151" s="265"/>
      <c r="E151" s="266"/>
      <c r="F151" s="265"/>
      <c r="G151" s="43">
        <v>113001</v>
      </c>
      <c r="H151" s="47" t="s">
        <v>148</v>
      </c>
      <c r="I151" s="155"/>
      <c r="J151" s="155"/>
      <c r="K151" s="269">
        <v>0</v>
      </c>
      <c r="L151" s="269">
        <v>0</v>
      </c>
      <c r="M151" s="267"/>
      <c r="N151" s="267"/>
      <c r="O151" s="267"/>
      <c r="P151" s="267"/>
      <c r="Q151" s="267"/>
      <c r="R151" s="266"/>
      <c r="S151" s="48"/>
      <c r="T151" s="48">
        <f t="shared" si="52"/>
        <v>0</v>
      </c>
    </row>
    <row r="152" spans="1:20" ht="25.5" x14ac:dyDescent="0.2">
      <c r="B152" s="43">
        <v>15</v>
      </c>
      <c r="C152" s="155"/>
      <c r="D152" s="265"/>
      <c r="E152" s="266"/>
      <c r="F152" s="265"/>
      <c r="G152" s="43">
        <v>113001</v>
      </c>
      <c r="H152" s="47" t="s">
        <v>148</v>
      </c>
      <c r="I152" s="155"/>
      <c r="J152" s="155"/>
      <c r="K152" s="269">
        <v>0</v>
      </c>
      <c r="L152" s="269">
        <v>0</v>
      </c>
      <c r="M152" s="267"/>
      <c r="N152" s="267"/>
      <c r="O152" s="267"/>
      <c r="P152" s="267"/>
      <c r="Q152" s="267"/>
      <c r="R152" s="266"/>
      <c r="S152" s="48"/>
      <c r="T152" s="48">
        <f t="shared" si="52"/>
        <v>0</v>
      </c>
    </row>
    <row r="153" spans="1:20" s="12" customFormat="1" x14ac:dyDescent="0.2">
      <c r="A153" s="28"/>
      <c r="B153" s="66" t="s">
        <v>32</v>
      </c>
      <c r="C153" s="67"/>
      <c r="D153" s="68"/>
      <c r="E153" s="92" t="s">
        <v>155</v>
      </c>
      <c r="F153" s="106"/>
      <c r="G153" s="67"/>
      <c r="H153" s="68"/>
      <c r="I153" s="69"/>
      <c r="J153" s="69"/>
      <c r="K153" s="49">
        <f>SUM(K138:K152)</f>
        <v>0</v>
      </c>
      <c r="L153" s="49">
        <f t="shared" ref="L153:T153" si="53">SUM(L138:L152)</f>
        <v>0</v>
      </c>
      <c r="M153" s="238">
        <f t="shared" si="53"/>
        <v>0</v>
      </c>
      <c r="N153" s="238">
        <f t="shared" si="53"/>
        <v>0</v>
      </c>
      <c r="O153" s="238">
        <f t="shared" si="53"/>
        <v>0</v>
      </c>
      <c r="P153" s="238">
        <f t="shared" si="53"/>
        <v>0</v>
      </c>
      <c r="Q153" s="238">
        <f t="shared" si="53"/>
        <v>0</v>
      </c>
      <c r="R153" s="49">
        <f t="shared" si="53"/>
        <v>0</v>
      </c>
      <c r="S153" s="49"/>
      <c r="T153" s="49">
        <f t="shared" si="53"/>
        <v>0</v>
      </c>
    </row>
    <row r="154" spans="1:20" s="12" customFormat="1" x14ac:dyDescent="0.2">
      <c r="A154" s="28"/>
      <c r="B154" s="66" t="s">
        <v>156</v>
      </c>
      <c r="C154" s="67"/>
      <c r="D154" s="68"/>
      <c r="E154" s="92" t="s">
        <v>157</v>
      </c>
      <c r="F154" s="106"/>
      <c r="G154" s="67"/>
      <c r="H154" s="68"/>
      <c r="I154" s="69"/>
      <c r="J154" s="69"/>
      <c r="K154" s="70"/>
      <c r="L154" s="70"/>
      <c r="M154" s="242"/>
      <c r="N154" s="242"/>
      <c r="O154" s="242"/>
      <c r="P154" s="242"/>
      <c r="Q154" s="242"/>
      <c r="R154" s="70"/>
      <c r="S154" s="70"/>
      <c r="T154" s="71"/>
    </row>
    <row r="155" spans="1:20" ht="25.5" x14ac:dyDescent="0.2">
      <c r="B155" s="43">
        <v>1</v>
      </c>
      <c r="C155" s="85">
        <v>11300201</v>
      </c>
      <c r="D155" s="47" t="str">
        <f>+IF(G155="","",VLOOKUP('AFE DETAILED'!C155,'AVERAGE COST'!$B:$D,3,0))</f>
        <v>UNIT</v>
      </c>
      <c r="E155" s="48">
        <f>+IF(C155="",0,VLOOKUP(C155,'AVERAGE COST'!$B$3:$E$995,4))</f>
        <v>0</v>
      </c>
      <c r="F155" s="101" t="s">
        <v>159</v>
      </c>
      <c r="G155" s="43">
        <v>113002</v>
      </c>
      <c r="H155" s="47" t="s">
        <v>157</v>
      </c>
      <c r="I155" s="155"/>
      <c r="J155" s="155"/>
      <c r="K155" s="48">
        <v>0</v>
      </c>
      <c r="L155" s="48">
        <v>0</v>
      </c>
      <c r="M155" s="237">
        <v>0</v>
      </c>
      <c r="N155" s="237">
        <v>0</v>
      </c>
      <c r="O155" s="237">
        <v>0</v>
      </c>
      <c r="P155" s="237">
        <v>0</v>
      </c>
      <c r="Q155" s="237">
        <v>0</v>
      </c>
      <c r="R155" s="48">
        <f>+IF(R4="n/a",0,IF(AND(R157&lt;&gt;0,R156&lt;&gt;0),$E$155*1.5,IF(R156=0,IF(R157=0,0,E155),E155)))</f>
        <v>0</v>
      </c>
      <c r="S155" s="48"/>
      <c r="T155" s="48">
        <f>SUM(K155:R155)</f>
        <v>0</v>
      </c>
    </row>
    <row r="156" spans="1:20" ht="25.5" x14ac:dyDescent="0.2">
      <c r="B156" s="43">
        <v>2</v>
      </c>
      <c r="C156" s="85">
        <v>11300201</v>
      </c>
      <c r="D156" s="47" t="str">
        <f>+IF(G156="","",VLOOKUP('AFE DETAILED'!C156,'AVERAGE COST'!$B:$D,3,0))</f>
        <v>UNIT</v>
      </c>
      <c r="E156" s="48">
        <f>+IF(C156="",0,VLOOKUP(C156,'AVERAGE COST'!$B$3:$E$995,4))</f>
        <v>0</v>
      </c>
      <c r="F156" s="101" t="s">
        <v>160</v>
      </c>
      <c r="G156" s="43">
        <v>113002</v>
      </c>
      <c r="H156" s="47" t="s">
        <v>157</v>
      </c>
      <c r="I156" s="155"/>
      <c r="J156" s="155"/>
      <c r="K156" s="48">
        <v>0</v>
      </c>
      <c r="L156" s="48">
        <v>0</v>
      </c>
      <c r="M156" s="237">
        <v>0</v>
      </c>
      <c r="N156" s="237">
        <v>0</v>
      </c>
      <c r="O156" s="237">
        <v>0</v>
      </c>
      <c r="P156" s="237">
        <v>0</v>
      </c>
      <c r="Q156" s="237">
        <v>0</v>
      </c>
      <c r="R156" s="48">
        <f>+IF(R4="N/A",0,IF('INITIAL DATA'!H55="yes",E156,0))</f>
        <v>0</v>
      </c>
      <c r="S156" s="48"/>
      <c r="T156" s="48">
        <f t="shared" ref="T156:T163" si="54">SUM(K156:R156)</f>
        <v>0</v>
      </c>
    </row>
    <row r="157" spans="1:20" ht="25.5" x14ac:dyDescent="0.2">
      <c r="B157" s="43">
        <v>3</v>
      </c>
      <c r="C157" s="85">
        <v>11300201</v>
      </c>
      <c r="D157" s="47" t="str">
        <f>+IF(G157="","",VLOOKUP('AFE DETAILED'!C157,'AVERAGE COST'!$B:$D,3,0))</f>
        <v>UNIT</v>
      </c>
      <c r="E157" s="48">
        <f>+IF(C157="",0,VLOOKUP(C157,'AVERAGE COST'!$B$3:$E$995,4))</f>
        <v>0</v>
      </c>
      <c r="F157" s="101" t="s">
        <v>161</v>
      </c>
      <c r="G157" s="43">
        <v>113002</v>
      </c>
      <c r="H157" s="47" t="s">
        <v>157</v>
      </c>
      <c r="I157" s="155"/>
      <c r="J157" s="155"/>
      <c r="K157" s="48">
        <v>0</v>
      </c>
      <c r="L157" s="48">
        <v>0</v>
      </c>
      <c r="M157" s="237">
        <v>0</v>
      </c>
      <c r="N157" s="237">
        <v>0</v>
      </c>
      <c r="O157" s="237">
        <v>0</v>
      </c>
      <c r="P157" s="237">
        <v>0</v>
      </c>
      <c r="Q157" s="237">
        <v>0</v>
      </c>
      <c r="R157" s="48">
        <f>+IF(R4="N/A",0,IF('INITIAL DATA'!H56="yes",E157,0))</f>
        <v>0</v>
      </c>
      <c r="S157" s="48"/>
      <c r="T157" s="48">
        <f t="shared" si="54"/>
        <v>0</v>
      </c>
    </row>
    <row r="158" spans="1:20" ht="25.5" x14ac:dyDescent="0.2">
      <c r="B158" s="43">
        <v>4</v>
      </c>
      <c r="C158" s="155"/>
      <c r="D158" s="265"/>
      <c r="E158" s="266"/>
      <c r="F158" s="265"/>
      <c r="G158" s="43">
        <v>113002</v>
      </c>
      <c r="H158" s="47" t="s">
        <v>157</v>
      </c>
      <c r="I158" s="155"/>
      <c r="J158" s="155"/>
      <c r="K158" s="269">
        <v>0</v>
      </c>
      <c r="L158" s="269">
        <v>0</v>
      </c>
      <c r="M158" s="267"/>
      <c r="N158" s="267"/>
      <c r="O158" s="267"/>
      <c r="P158" s="267"/>
      <c r="Q158" s="267"/>
      <c r="R158" s="266"/>
      <c r="S158" s="48"/>
      <c r="T158" s="48">
        <f t="shared" si="54"/>
        <v>0</v>
      </c>
    </row>
    <row r="159" spans="1:20" ht="25.5" x14ac:dyDescent="0.2">
      <c r="B159" s="43">
        <v>5</v>
      </c>
      <c r="C159" s="155"/>
      <c r="D159" s="265"/>
      <c r="E159" s="266"/>
      <c r="F159" s="265"/>
      <c r="G159" s="43">
        <v>113002</v>
      </c>
      <c r="H159" s="47" t="s">
        <v>157</v>
      </c>
      <c r="I159" s="155"/>
      <c r="J159" s="155"/>
      <c r="K159" s="269">
        <v>0</v>
      </c>
      <c r="L159" s="269">
        <v>0</v>
      </c>
      <c r="M159" s="267"/>
      <c r="N159" s="267"/>
      <c r="O159" s="267"/>
      <c r="P159" s="267"/>
      <c r="Q159" s="267"/>
      <c r="R159" s="266"/>
      <c r="S159" s="48"/>
      <c r="T159" s="48">
        <f t="shared" si="54"/>
        <v>0</v>
      </c>
    </row>
    <row r="160" spans="1:20" ht="25.5" x14ac:dyDescent="0.2">
      <c r="B160" s="43">
        <v>6</v>
      </c>
      <c r="C160" s="155"/>
      <c r="D160" s="265"/>
      <c r="E160" s="266"/>
      <c r="F160" s="265"/>
      <c r="G160" s="43">
        <v>113002</v>
      </c>
      <c r="H160" s="47" t="s">
        <v>157</v>
      </c>
      <c r="I160" s="155"/>
      <c r="J160" s="155"/>
      <c r="K160" s="269">
        <v>0</v>
      </c>
      <c r="L160" s="269">
        <v>0</v>
      </c>
      <c r="M160" s="267"/>
      <c r="N160" s="267"/>
      <c r="O160" s="267"/>
      <c r="P160" s="267"/>
      <c r="Q160" s="267"/>
      <c r="R160" s="266"/>
      <c r="S160" s="48"/>
      <c r="T160" s="48">
        <f t="shared" si="54"/>
        <v>0</v>
      </c>
    </row>
    <row r="161" spans="1:20" ht="25.5" x14ac:dyDescent="0.2">
      <c r="B161" s="43">
        <v>7</v>
      </c>
      <c r="C161" s="155"/>
      <c r="D161" s="265"/>
      <c r="E161" s="266"/>
      <c r="F161" s="265"/>
      <c r="G161" s="43">
        <v>113002</v>
      </c>
      <c r="H161" s="47" t="s">
        <v>157</v>
      </c>
      <c r="I161" s="155"/>
      <c r="J161" s="155"/>
      <c r="K161" s="269">
        <v>0</v>
      </c>
      <c r="L161" s="269">
        <v>0</v>
      </c>
      <c r="M161" s="267"/>
      <c r="N161" s="267"/>
      <c r="O161" s="267"/>
      <c r="P161" s="267"/>
      <c r="Q161" s="267"/>
      <c r="R161" s="266"/>
      <c r="S161" s="48"/>
      <c r="T161" s="48">
        <f t="shared" si="54"/>
        <v>0</v>
      </c>
    </row>
    <row r="162" spans="1:20" ht="25.5" x14ac:dyDescent="0.2">
      <c r="B162" s="43">
        <v>8</v>
      </c>
      <c r="C162" s="155"/>
      <c r="D162" s="265"/>
      <c r="E162" s="266"/>
      <c r="F162" s="265"/>
      <c r="G162" s="43">
        <v>113002</v>
      </c>
      <c r="H162" s="47" t="s">
        <v>157</v>
      </c>
      <c r="I162" s="155"/>
      <c r="J162" s="155"/>
      <c r="K162" s="269">
        <v>0</v>
      </c>
      <c r="L162" s="269">
        <v>0</v>
      </c>
      <c r="M162" s="267"/>
      <c r="N162" s="267"/>
      <c r="O162" s="267"/>
      <c r="P162" s="267"/>
      <c r="Q162" s="267"/>
      <c r="R162" s="266"/>
      <c r="S162" s="48"/>
      <c r="T162" s="48">
        <f t="shared" si="54"/>
        <v>0</v>
      </c>
    </row>
    <row r="163" spans="1:20" ht="25.5" x14ac:dyDescent="0.2">
      <c r="B163" s="43">
        <v>9</v>
      </c>
      <c r="C163" s="155"/>
      <c r="D163" s="265"/>
      <c r="E163" s="266"/>
      <c r="F163" s="265"/>
      <c r="G163" s="43">
        <v>113002</v>
      </c>
      <c r="H163" s="47" t="s">
        <v>157</v>
      </c>
      <c r="I163" s="155"/>
      <c r="J163" s="155"/>
      <c r="K163" s="269">
        <v>0</v>
      </c>
      <c r="L163" s="269">
        <v>0</v>
      </c>
      <c r="M163" s="267"/>
      <c r="N163" s="267"/>
      <c r="O163" s="267"/>
      <c r="P163" s="267"/>
      <c r="Q163" s="267"/>
      <c r="R163" s="266"/>
      <c r="S163" s="48"/>
      <c r="T163" s="48">
        <f t="shared" si="54"/>
        <v>0</v>
      </c>
    </row>
    <row r="164" spans="1:20" s="12" customFormat="1" x14ac:dyDescent="0.2">
      <c r="A164" s="28"/>
      <c r="B164" s="66" t="s">
        <v>32</v>
      </c>
      <c r="C164" s="67"/>
      <c r="D164" s="68"/>
      <c r="E164" s="92" t="s">
        <v>158</v>
      </c>
      <c r="F164" s="106"/>
      <c r="G164" s="67"/>
      <c r="H164" s="68"/>
      <c r="I164" s="69"/>
      <c r="J164" s="69"/>
      <c r="K164" s="49">
        <f>SUM(K155:K163)</f>
        <v>0</v>
      </c>
      <c r="L164" s="49">
        <f t="shared" ref="L164:T164" si="55">SUM(L155:L163)</f>
        <v>0</v>
      </c>
      <c r="M164" s="238">
        <f t="shared" si="55"/>
        <v>0</v>
      </c>
      <c r="N164" s="238">
        <f t="shared" si="55"/>
        <v>0</v>
      </c>
      <c r="O164" s="238">
        <f t="shared" si="55"/>
        <v>0</v>
      </c>
      <c r="P164" s="238">
        <f t="shared" si="55"/>
        <v>0</v>
      </c>
      <c r="Q164" s="238">
        <f t="shared" si="55"/>
        <v>0</v>
      </c>
      <c r="R164" s="49">
        <f t="shared" si="55"/>
        <v>0</v>
      </c>
      <c r="S164" s="49"/>
      <c r="T164" s="49">
        <f t="shared" si="55"/>
        <v>0</v>
      </c>
    </row>
    <row r="165" spans="1:20" s="12" customFormat="1" x14ac:dyDescent="0.2">
      <c r="A165" s="28"/>
      <c r="B165" s="66" t="s">
        <v>162</v>
      </c>
      <c r="C165" s="67"/>
      <c r="D165" s="68"/>
      <c r="E165" s="92" t="s">
        <v>163</v>
      </c>
      <c r="F165" s="106"/>
      <c r="G165" s="67"/>
      <c r="H165" s="68"/>
      <c r="I165" s="69"/>
      <c r="J165" s="69"/>
      <c r="K165" s="70"/>
      <c r="L165" s="70"/>
      <c r="M165" s="242"/>
      <c r="N165" s="242"/>
      <c r="O165" s="242"/>
      <c r="P165" s="242"/>
      <c r="Q165" s="242"/>
      <c r="R165" s="70"/>
      <c r="S165" s="70"/>
      <c r="T165" s="71"/>
    </row>
    <row r="166" spans="1:20" x14ac:dyDescent="0.2">
      <c r="B166" s="43">
        <v>1</v>
      </c>
      <c r="C166" s="43">
        <v>11300301</v>
      </c>
      <c r="D166" s="47" t="str">
        <f>+IF(G166="","",VLOOKUP('AFE DETAILED'!C166,'AVERAGE COST'!$B:$D,3,0))</f>
        <v>UNIT</v>
      </c>
      <c r="E166" s="48">
        <f>+IF(C166="",0,VLOOKUP(C166,'AVERAGE COST'!$B$3:$E$995,4))</f>
        <v>0</v>
      </c>
      <c r="F166" s="47" t="s">
        <v>159</v>
      </c>
      <c r="G166" s="43">
        <v>113003</v>
      </c>
      <c r="H166" s="47" t="s">
        <v>163</v>
      </c>
      <c r="I166" s="155"/>
      <c r="J166" s="155"/>
      <c r="K166" s="48">
        <v>0</v>
      </c>
      <c r="L166" s="48">
        <v>0</v>
      </c>
      <c r="M166" s="237">
        <f>+IF(M4="N/A",0,IF(M167=0,0,ROUNDUP((M11-L11)/1000,0)*$E$166))</f>
        <v>0</v>
      </c>
      <c r="N166" s="237">
        <f t="shared" ref="N166:Q166" si="56">+IF(N4="N/A",0,IF(N167=0,0,ROUNDUP((N11-M11)/1000,0)*$E$166))</f>
        <v>0</v>
      </c>
      <c r="O166" s="237">
        <f t="shared" si="56"/>
        <v>0</v>
      </c>
      <c r="P166" s="237">
        <f t="shared" si="56"/>
        <v>0</v>
      </c>
      <c r="Q166" s="237">
        <f t="shared" si="56"/>
        <v>0</v>
      </c>
      <c r="R166" s="48">
        <f>+IF(R4="N/A",0,IF(R167=0,0,ROUNDUP((R11-Q11)/1000,0)*$E$166))</f>
        <v>0</v>
      </c>
      <c r="S166" s="48"/>
      <c r="T166" s="48">
        <f>SUM(K166:R166)</f>
        <v>0</v>
      </c>
    </row>
    <row r="167" spans="1:20" x14ac:dyDescent="0.2">
      <c r="B167" s="43">
        <v>2</v>
      </c>
      <c r="C167" s="43">
        <v>11300302</v>
      </c>
      <c r="D167" s="47" t="str">
        <f>+IF(G167="","",VLOOKUP('AFE DETAILED'!C167,'AVERAGE COST'!$B:$D,3,0))</f>
        <v>FT</v>
      </c>
      <c r="E167" s="48">
        <f>+IF(C167="",0,VLOOKUP(C167,'AVERAGE COST'!$B$3:$E$995,4))</f>
        <v>0</v>
      </c>
      <c r="F167" s="47" t="s">
        <v>166</v>
      </c>
      <c r="G167" s="43">
        <v>113003</v>
      </c>
      <c r="H167" s="47" t="s">
        <v>163</v>
      </c>
      <c r="I167" s="155"/>
      <c r="J167" s="155"/>
      <c r="K167" s="48">
        <v>0</v>
      </c>
      <c r="L167" s="48">
        <v>0</v>
      </c>
      <c r="M167" s="237">
        <f>+IF(M4="n/a",0,IF(M4="CONDUCTOR",(M11+'INITIAL DATA'!C57)*'AFE DETAILED'!$E$167,0))</f>
        <v>0</v>
      </c>
      <c r="N167" s="237">
        <f>+IF(N4="n/a",0,IF(N4="CONDUCTOR",(N11+'INITIAL DATA'!D57)*'AFE DETAILED'!$E$167,0))</f>
        <v>0</v>
      </c>
      <c r="O167" s="237">
        <f>+IF(O4="n/a",0,IF(O4="CONDUCTOR",(O11+'INITIAL DATA'!E57)*'AFE DETAILED'!$E$167,0))</f>
        <v>0</v>
      </c>
      <c r="P167" s="237">
        <f>+IF(P4="n/a",0,IF(P4="CONDUCTOR",(P11+'INITIAL DATA'!F57)*'AFE DETAILED'!$E$167,0))</f>
        <v>0</v>
      </c>
      <c r="Q167" s="237">
        <f>+IF(Q4="n/a",0,IF(Q4="CONDUCTOR",(Q11+'INITIAL DATA'!G57)*'AFE DETAILED'!$E$167,0))</f>
        <v>0</v>
      </c>
      <c r="R167" s="48">
        <f>+IF(R4="n/a",0,IF(R4="CONDUCTOR",(R11+'INITIAL DATA'!H57)*'AFE DETAILED'!$E$167,0))</f>
        <v>0</v>
      </c>
      <c r="S167" s="48"/>
      <c r="T167" s="48">
        <f t="shared" ref="T167:T168" si="57">SUM(K167:R167)</f>
        <v>0</v>
      </c>
    </row>
    <row r="168" spans="1:20" x14ac:dyDescent="0.2">
      <c r="B168" s="43">
        <v>3</v>
      </c>
      <c r="C168" s="155"/>
      <c r="D168" s="265"/>
      <c r="E168" s="266"/>
      <c r="F168" s="265"/>
      <c r="G168" s="43">
        <v>113003</v>
      </c>
      <c r="H168" s="47" t="s">
        <v>163</v>
      </c>
      <c r="I168" s="155"/>
      <c r="J168" s="155"/>
      <c r="K168" s="269">
        <v>0</v>
      </c>
      <c r="L168" s="269">
        <v>0</v>
      </c>
      <c r="M168" s="267"/>
      <c r="N168" s="267"/>
      <c r="O168" s="267"/>
      <c r="P168" s="267"/>
      <c r="Q168" s="267"/>
      <c r="R168" s="266"/>
      <c r="S168" s="48"/>
      <c r="T168" s="48">
        <f t="shared" si="57"/>
        <v>0</v>
      </c>
    </row>
    <row r="169" spans="1:20" s="12" customFormat="1" x14ac:dyDescent="0.2">
      <c r="A169" s="28"/>
      <c r="B169" s="66" t="s">
        <v>32</v>
      </c>
      <c r="C169" s="67"/>
      <c r="D169" s="68"/>
      <c r="E169" s="92" t="s">
        <v>514</v>
      </c>
      <c r="F169" s="106"/>
      <c r="G169" s="67"/>
      <c r="H169" s="68"/>
      <c r="I169" s="69"/>
      <c r="J169" s="69"/>
      <c r="K169" s="49">
        <f>SUM(K166:K168)</f>
        <v>0</v>
      </c>
      <c r="L169" s="49">
        <f t="shared" ref="L169:T169" si="58">SUM(L166:L168)</f>
        <v>0</v>
      </c>
      <c r="M169" s="238">
        <f t="shared" si="58"/>
        <v>0</v>
      </c>
      <c r="N169" s="238">
        <f t="shared" si="58"/>
        <v>0</v>
      </c>
      <c r="O169" s="238">
        <f t="shared" si="58"/>
        <v>0</v>
      </c>
      <c r="P169" s="238">
        <f t="shared" si="58"/>
        <v>0</v>
      </c>
      <c r="Q169" s="238">
        <f t="shared" si="58"/>
        <v>0</v>
      </c>
      <c r="R169" s="49">
        <f t="shared" si="58"/>
        <v>0</v>
      </c>
      <c r="S169" s="49"/>
      <c r="T169" s="49">
        <f t="shared" si="58"/>
        <v>0</v>
      </c>
    </row>
    <row r="170" spans="1:20" s="12" customFormat="1" x14ac:dyDescent="0.2">
      <c r="A170" s="28"/>
      <c r="B170" s="66" t="s">
        <v>167</v>
      </c>
      <c r="C170" s="67"/>
      <c r="D170" s="68"/>
      <c r="E170" s="92" t="s">
        <v>164</v>
      </c>
      <c r="F170" s="106"/>
      <c r="G170" s="67"/>
      <c r="H170" s="68"/>
      <c r="I170" s="69"/>
      <c r="J170" s="69"/>
      <c r="K170" s="70"/>
      <c r="L170" s="70"/>
      <c r="M170" s="242"/>
      <c r="N170" s="242"/>
      <c r="O170" s="242"/>
      <c r="P170" s="242"/>
      <c r="Q170" s="242"/>
      <c r="R170" s="70"/>
      <c r="S170" s="70"/>
      <c r="T170" s="71"/>
    </row>
    <row r="171" spans="1:20" x14ac:dyDescent="0.2">
      <c r="B171" s="43">
        <v>1</v>
      </c>
      <c r="C171" s="85">
        <v>11300401</v>
      </c>
      <c r="D171" s="47" t="str">
        <f>+IF(G171="","",VLOOKUP('AFE DETAILED'!C171,'AVERAGE COST'!$B:$D,3,0))</f>
        <v>UNIT</v>
      </c>
      <c r="E171" s="48">
        <f>+IF(C171="",0,VLOOKUP(C171,'AVERAGE COST'!$B$3:$E$995,4))</f>
        <v>0</v>
      </c>
      <c r="F171" s="47" t="s">
        <v>159</v>
      </c>
      <c r="G171" s="43">
        <v>113004</v>
      </c>
      <c r="H171" s="47" t="s">
        <v>165</v>
      </c>
      <c r="I171" s="155"/>
      <c r="J171" s="155"/>
      <c r="K171" s="48">
        <v>0</v>
      </c>
      <c r="L171" s="48">
        <v>0</v>
      </c>
      <c r="M171" s="237">
        <f>+IF(M4="N/A",0,IF(M172=0,0,ROUNDUP((M11-L11)/1000,0)*$E$171))</f>
        <v>0</v>
      </c>
      <c r="N171" s="237">
        <f t="shared" ref="N171:R171" si="59">+IF(N4="N/A",0,IF(N172=0,0,ROUNDUP((N11-M11)/1000,0)*$E$171))</f>
        <v>0</v>
      </c>
      <c r="O171" s="237">
        <f t="shared" si="59"/>
        <v>0</v>
      </c>
      <c r="P171" s="237">
        <f t="shared" si="59"/>
        <v>0</v>
      </c>
      <c r="Q171" s="237">
        <f t="shared" si="59"/>
        <v>0</v>
      </c>
      <c r="R171" s="48">
        <f t="shared" si="59"/>
        <v>0</v>
      </c>
      <c r="S171" s="48"/>
      <c r="T171" s="48">
        <f>SUM(K171:R171)</f>
        <v>0</v>
      </c>
    </row>
    <row r="172" spans="1:20" x14ac:dyDescent="0.2">
      <c r="B172" s="43">
        <v>2</v>
      </c>
      <c r="C172" s="85">
        <v>11300402</v>
      </c>
      <c r="D172" s="47" t="str">
        <f>+IF(G172="","",VLOOKUP('AFE DETAILED'!C172,'AVERAGE COST'!$B:$D,3,0))</f>
        <v>FT</v>
      </c>
      <c r="E172" s="48">
        <f>+IF(C172="",0,VLOOKUP(C172,'AVERAGE COST'!$B$3:$E$995,4))</f>
        <v>0</v>
      </c>
      <c r="F172" s="47" t="s">
        <v>165</v>
      </c>
      <c r="G172" s="43">
        <v>113004</v>
      </c>
      <c r="H172" s="47" t="s">
        <v>165</v>
      </c>
      <c r="I172" s="155"/>
      <c r="J172" s="155"/>
      <c r="K172" s="48">
        <v>0</v>
      </c>
      <c r="L172" s="48">
        <v>0</v>
      </c>
      <c r="M172" s="237">
        <f>+IF(M4="n/a",0,IF(M4="SURFACE",(M11+'INITIAL DATA'!C57)*'AFE DETAILED'!$E$172,0))</f>
        <v>0</v>
      </c>
      <c r="N172" s="237">
        <f>+IF(N4="n/a",0,IF(N4="SURFACE",(N11+'INITIAL DATA'!D57)*'AFE DETAILED'!$E$172,0))</f>
        <v>0</v>
      </c>
      <c r="O172" s="237">
        <f>+IF(O4="n/a",0,IF(O4="SURFACE",(O11+'INITIAL DATA'!E57)*'AFE DETAILED'!$E$172,0))</f>
        <v>0</v>
      </c>
      <c r="P172" s="237">
        <f>+IF(P4="n/a",0,IF(P4="SURFACE",(P11+'INITIAL DATA'!F57)*'AFE DETAILED'!$E$172,0))</f>
        <v>0</v>
      </c>
      <c r="Q172" s="237">
        <f>+IF(Q4="n/a",0,IF(Q4="SURFACE",(Q11+'INITIAL DATA'!G57)*'AFE DETAILED'!$E$172,0))</f>
        <v>0</v>
      </c>
      <c r="R172" s="48">
        <f>+IF(R4="n/a",0,IF(R4="SURFACE",(R11+'INITIAL DATA'!H57)*'AFE DETAILED'!$E$172,0))</f>
        <v>0</v>
      </c>
      <c r="S172" s="48"/>
      <c r="T172" s="48">
        <f t="shared" ref="T172:T174" si="60">SUM(K172:R172)</f>
        <v>0</v>
      </c>
    </row>
    <row r="173" spans="1:20" x14ac:dyDescent="0.2">
      <c r="B173" s="43">
        <v>3</v>
      </c>
      <c r="C173" s="155"/>
      <c r="D173" s="265"/>
      <c r="E173" s="266"/>
      <c r="F173" s="265"/>
      <c r="G173" s="43">
        <v>113004</v>
      </c>
      <c r="H173" s="47" t="s">
        <v>165</v>
      </c>
      <c r="I173" s="155"/>
      <c r="J173" s="155"/>
      <c r="K173" s="269">
        <v>0</v>
      </c>
      <c r="L173" s="269">
        <v>0</v>
      </c>
      <c r="M173" s="267"/>
      <c r="N173" s="267"/>
      <c r="O173" s="267"/>
      <c r="P173" s="267"/>
      <c r="Q173" s="267"/>
      <c r="R173" s="266"/>
      <c r="S173" s="48"/>
      <c r="T173" s="48">
        <f t="shared" si="60"/>
        <v>0</v>
      </c>
    </row>
    <row r="174" spans="1:20" x14ac:dyDescent="0.2">
      <c r="B174" s="43">
        <v>4</v>
      </c>
      <c r="C174" s="155"/>
      <c r="D174" s="265"/>
      <c r="E174" s="266"/>
      <c r="F174" s="265"/>
      <c r="G174" s="43">
        <v>113004</v>
      </c>
      <c r="H174" s="47" t="s">
        <v>165</v>
      </c>
      <c r="I174" s="155"/>
      <c r="J174" s="155"/>
      <c r="K174" s="269">
        <v>0</v>
      </c>
      <c r="L174" s="269">
        <v>0</v>
      </c>
      <c r="M174" s="267"/>
      <c r="N174" s="267"/>
      <c r="O174" s="267"/>
      <c r="P174" s="267"/>
      <c r="Q174" s="267"/>
      <c r="R174" s="266"/>
      <c r="S174" s="48"/>
      <c r="T174" s="48">
        <f t="shared" si="60"/>
        <v>0</v>
      </c>
    </row>
    <row r="175" spans="1:20" s="12" customFormat="1" x14ac:dyDescent="0.2">
      <c r="A175" s="28"/>
      <c r="B175" s="66" t="s">
        <v>32</v>
      </c>
      <c r="C175" s="67"/>
      <c r="D175" s="68"/>
      <c r="E175" s="92" t="s">
        <v>169</v>
      </c>
      <c r="F175" s="106"/>
      <c r="G175" s="67"/>
      <c r="H175" s="68"/>
      <c r="I175" s="69"/>
      <c r="J175" s="69"/>
      <c r="K175" s="49">
        <f>SUM(K171:K174)</f>
        <v>0</v>
      </c>
      <c r="L175" s="49">
        <f t="shared" ref="L175:T175" si="61">SUM(L171:L174)</f>
        <v>0</v>
      </c>
      <c r="M175" s="238">
        <f t="shared" si="61"/>
        <v>0</v>
      </c>
      <c r="N175" s="238">
        <f t="shared" si="61"/>
        <v>0</v>
      </c>
      <c r="O175" s="238">
        <f t="shared" si="61"/>
        <v>0</v>
      </c>
      <c r="P175" s="238">
        <f t="shared" si="61"/>
        <v>0</v>
      </c>
      <c r="Q175" s="238">
        <f t="shared" si="61"/>
        <v>0</v>
      </c>
      <c r="R175" s="49">
        <f t="shared" si="61"/>
        <v>0</v>
      </c>
      <c r="S175" s="49"/>
      <c r="T175" s="49">
        <f t="shared" si="61"/>
        <v>0</v>
      </c>
    </row>
    <row r="176" spans="1:20" s="12" customFormat="1" x14ac:dyDescent="0.2">
      <c r="A176" s="28"/>
      <c r="B176" s="66" t="s">
        <v>168</v>
      </c>
      <c r="C176" s="67"/>
      <c r="D176" s="68"/>
      <c r="E176" s="92" t="s">
        <v>170</v>
      </c>
      <c r="F176" s="106"/>
      <c r="G176" s="67"/>
      <c r="H176" s="68"/>
      <c r="I176" s="69"/>
      <c r="J176" s="69"/>
      <c r="K176" s="70"/>
      <c r="L176" s="70"/>
      <c r="M176" s="242"/>
      <c r="N176" s="242"/>
      <c r="O176" s="242"/>
      <c r="P176" s="242"/>
      <c r="Q176" s="242"/>
      <c r="R176" s="70"/>
      <c r="S176" s="70"/>
      <c r="T176" s="71"/>
    </row>
    <row r="177" spans="1:20" x14ac:dyDescent="0.2">
      <c r="B177" s="43">
        <v>1</v>
      </c>
      <c r="C177" s="85">
        <v>11300501</v>
      </c>
      <c r="D177" s="47" t="str">
        <f>+IF(G177="","",VLOOKUP('AFE DETAILED'!C177,'AVERAGE COST'!$B:$D,3,0))</f>
        <v>UNIT</v>
      </c>
      <c r="E177" s="48">
        <f>+IF(C177="",0,VLOOKUP(C177,'AVERAGE COST'!$B$3:$E$995,4))</f>
        <v>0</v>
      </c>
      <c r="F177" s="47" t="s">
        <v>159</v>
      </c>
      <c r="G177" s="43">
        <v>113005</v>
      </c>
      <c r="H177" s="47" t="s">
        <v>173</v>
      </c>
      <c r="I177" s="155"/>
      <c r="J177" s="155"/>
      <c r="K177" s="48">
        <v>0</v>
      </c>
      <c r="L177" s="48">
        <v>0</v>
      </c>
      <c r="M177" s="237">
        <f>+IF(M4="N/A",0,IF(M178=0,0,ROUNDUP((M11-L11)/1000,0)*$E$177))</f>
        <v>0</v>
      </c>
      <c r="N177" s="237">
        <f t="shared" ref="N177:R177" si="62">+IF(N4="N/A",0,IF(N178=0,0,ROUNDUP((N11-M11)/1000,0)*$E$177))</f>
        <v>0</v>
      </c>
      <c r="O177" s="237">
        <f t="shared" si="62"/>
        <v>0</v>
      </c>
      <c r="P177" s="237">
        <f t="shared" si="62"/>
        <v>0</v>
      </c>
      <c r="Q177" s="237">
        <f t="shared" si="62"/>
        <v>0</v>
      </c>
      <c r="R177" s="48">
        <f t="shared" si="62"/>
        <v>0</v>
      </c>
      <c r="S177" s="48"/>
      <c r="T177" s="48">
        <f>SUM(K177:R177)</f>
        <v>0</v>
      </c>
    </row>
    <row r="178" spans="1:20" x14ac:dyDescent="0.2">
      <c r="B178" s="43">
        <v>2</v>
      </c>
      <c r="C178" s="85">
        <v>11300502</v>
      </c>
      <c r="D178" s="47" t="str">
        <f>+IF(G178="","",VLOOKUP('AFE DETAILED'!C178,'AVERAGE COST'!$B:$D,3,0))</f>
        <v>FT</v>
      </c>
      <c r="E178" s="48">
        <f>+IF(C178="",0,VLOOKUP(C178,'AVERAGE COST'!$B$3:$E$995,4))</f>
        <v>0</v>
      </c>
      <c r="F178" s="47" t="s">
        <v>174</v>
      </c>
      <c r="G178" s="43">
        <v>113005</v>
      </c>
      <c r="H178" s="47" t="s">
        <v>173</v>
      </c>
      <c r="I178" s="155"/>
      <c r="J178" s="155"/>
      <c r="K178" s="48">
        <v>0</v>
      </c>
      <c r="L178" s="48">
        <v>0</v>
      </c>
      <c r="M178" s="237">
        <f>+IF(M4="n/a",0,IF(M4="INTERMEDIATE CASING 1",(M11+'INITIAL DATA'!C57)*'AFE DETAILED'!$E$178,0))</f>
        <v>0</v>
      </c>
      <c r="N178" s="237">
        <f>+IF(N4="n/a",0,IF(N4="INTERMEDIATE CASING 1",(N11+'INITIAL DATA'!D57)*'AFE DETAILED'!$E$178,0))</f>
        <v>0</v>
      </c>
      <c r="O178" s="237">
        <f>+IF(O4="n/a",0,IF(O4="INTERMEDIATE CASING 1",(O11+'INITIAL DATA'!E57)*'AFE DETAILED'!$E$178,0))</f>
        <v>0</v>
      </c>
      <c r="P178" s="237">
        <f>+IF(P4="n/a",0,IF(P4="INTERMEDIATE CASING 1",(P11+'INITIAL DATA'!F57)*'AFE DETAILED'!$E$178,0))</f>
        <v>0</v>
      </c>
      <c r="Q178" s="237">
        <f>+IF(Q4="n/a",0,IF(Q4="INTERMEDIATE CASING 1",(Q11+'INITIAL DATA'!G57)*'AFE DETAILED'!$E$178,0))</f>
        <v>0</v>
      </c>
      <c r="R178" s="48">
        <f>+IF(R4="n/a",0,IF(R4="INTERMEDIATE CASING 1",(R11+'INITIAL DATA'!H57)*'AFE DETAILED'!$E$178,0))</f>
        <v>0</v>
      </c>
      <c r="S178" s="48"/>
      <c r="T178" s="48">
        <f t="shared" ref="T178:T180" si="63">SUM(K178:R178)</f>
        <v>0</v>
      </c>
    </row>
    <row r="179" spans="1:20" x14ac:dyDescent="0.2">
      <c r="B179" s="43">
        <v>3</v>
      </c>
      <c r="C179" s="155"/>
      <c r="D179" s="265"/>
      <c r="E179" s="266"/>
      <c r="F179" s="265"/>
      <c r="G179" s="43">
        <v>113005</v>
      </c>
      <c r="H179" s="47" t="s">
        <v>173</v>
      </c>
      <c r="I179" s="155"/>
      <c r="J179" s="155"/>
      <c r="K179" s="269">
        <v>0</v>
      </c>
      <c r="L179" s="269">
        <v>0</v>
      </c>
      <c r="M179" s="267"/>
      <c r="N179" s="267"/>
      <c r="O179" s="267"/>
      <c r="P179" s="267"/>
      <c r="Q179" s="267"/>
      <c r="R179" s="266"/>
      <c r="S179" s="48"/>
      <c r="T179" s="48">
        <f t="shared" si="63"/>
        <v>0</v>
      </c>
    </row>
    <row r="180" spans="1:20" x14ac:dyDescent="0.2">
      <c r="B180" s="43">
        <v>4</v>
      </c>
      <c r="C180" s="155"/>
      <c r="D180" s="265"/>
      <c r="E180" s="266"/>
      <c r="F180" s="265"/>
      <c r="G180" s="43">
        <v>113005</v>
      </c>
      <c r="H180" s="47" t="s">
        <v>173</v>
      </c>
      <c r="I180" s="155"/>
      <c r="J180" s="155"/>
      <c r="K180" s="269">
        <v>0</v>
      </c>
      <c r="L180" s="269">
        <v>0</v>
      </c>
      <c r="M180" s="267"/>
      <c r="N180" s="267"/>
      <c r="O180" s="267"/>
      <c r="P180" s="267"/>
      <c r="Q180" s="267"/>
      <c r="R180" s="266"/>
      <c r="S180" s="48"/>
      <c r="T180" s="48">
        <f t="shared" si="63"/>
        <v>0</v>
      </c>
    </row>
    <row r="181" spans="1:20" s="12" customFormat="1" x14ac:dyDescent="0.2">
      <c r="A181" s="28"/>
      <c r="B181" s="66" t="s">
        <v>32</v>
      </c>
      <c r="C181" s="67"/>
      <c r="D181" s="68"/>
      <c r="E181" s="92" t="s">
        <v>172</v>
      </c>
      <c r="F181" s="106"/>
      <c r="G181" s="67"/>
      <c r="H181" s="68"/>
      <c r="I181" s="69"/>
      <c r="J181" s="69"/>
      <c r="K181" s="49">
        <f>SUM(K177:K180)</f>
        <v>0</v>
      </c>
      <c r="L181" s="49">
        <f t="shared" ref="L181:T181" si="64">SUM(L177:L180)</f>
        <v>0</v>
      </c>
      <c r="M181" s="238">
        <f t="shared" si="64"/>
        <v>0</v>
      </c>
      <c r="N181" s="238">
        <f t="shared" si="64"/>
        <v>0</v>
      </c>
      <c r="O181" s="238">
        <f t="shared" si="64"/>
        <v>0</v>
      </c>
      <c r="P181" s="238">
        <f t="shared" si="64"/>
        <v>0</v>
      </c>
      <c r="Q181" s="238">
        <f t="shared" si="64"/>
        <v>0</v>
      </c>
      <c r="R181" s="49">
        <f t="shared" si="64"/>
        <v>0</v>
      </c>
      <c r="S181" s="49"/>
      <c r="T181" s="49">
        <f t="shared" si="64"/>
        <v>0</v>
      </c>
    </row>
    <row r="182" spans="1:20" s="12" customFormat="1" x14ac:dyDescent="0.2">
      <c r="A182" s="28"/>
      <c r="B182" s="66" t="s">
        <v>171</v>
      </c>
      <c r="C182" s="67"/>
      <c r="D182" s="68"/>
      <c r="E182" s="92" t="s">
        <v>175</v>
      </c>
      <c r="F182" s="106"/>
      <c r="G182" s="67"/>
      <c r="H182" s="68"/>
      <c r="I182" s="69"/>
      <c r="J182" s="69"/>
      <c r="K182" s="70"/>
      <c r="L182" s="70"/>
      <c r="M182" s="242"/>
      <c r="N182" s="242"/>
      <c r="O182" s="242"/>
      <c r="P182" s="242"/>
      <c r="Q182" s="242"/>
      <c r="R182" s="70"/>
      <c r="S182" s="70"/>
      <c r="T182" s="71"/>
    </row>
    <row r="183" spans="1:20" x14ac:dyDescent="0.2">
      <c r="B183" s="43">
        <v>1</v>
      </c>
      <c r="C183" s="85">
        <v>11300601</v>
      </c>
      <c r="D183" s="47" t="str">
        <f>+IF(G183="","",VLOOKUP('AFE DETAILED'!C183,'AVERAGE COST'!$B:$D,3,0))</f>
        <v>UNIT</v>
      </c>
      <c r="E183" s="48">
        <f>+IF(C183="",0,VLOOKUP(C183,'AVERAGE COST'!$B$3:$E$995,4))</f>
        <v>0</v>
      </c>
      <c r="F183" s="47" t="s">
        <v>159</v>
      </c>
      <c r="G183" s="43">
        <v>113006</v>
      </c>
      <c r="H183" s="47" t="s">
        <v>178</v>
      </c>
      <c r="I183" s="155"/>
      <c r="J183" s="155"/>
      <c r="K183" s="48">
        <v>0</v>
      </c>
      <c r="L183" s="48">
        <v>0</v>
      </c>
      <c r="M183" s="237">
        <f>+IF(M4="N/A",0,IF(M184=0,0,ROUNDUP((M11-L11)/1000,0)*$E$183))</f>
        <v>0</v>
      </c>
      <c r="N183" s="237">
        <f t="shared" ref="N183:R183" si="65">+IF(N4="N/A",0,IF(N184=0,0,ROUNDUP((N11-M11)/1000,0)*$E$183))</f>
        <v>0</v>
      </c>
      <c r="O183" s="237">
        <f t="shared" si="65"/>
        <v>0</v>
      </c>
      <c r="P183" s="237">
        <f t="shared" si="65"/>
        <v>0</v>
      </c>
      <c r="Q183" s="237">
        <f t="shared" si="65"/>
        <v>0</v>
      </c>
      <c r="R183" s="48">
        <f t="shared" si="65"/>
        <v>0</v>
      </c>
      <c r="S183" s="48"/>
      <c r="T183" s="48">
        <f>SUM(K183:R183)</f>
        <v>0</v>
      </c>
    </row>
    <row r="184" spans="1:20" x14ac:dyDescent="0.2">
      <c r="B184" s="43">
        <v>2</v>
      </c>
      <c r="C184" s="85">
        <v>11300602</v>
      </c>
      <c r="D184" s="47" t="str">
        <f>+IF(G184="","",VLOOKUP('AFE DETAILED'!C184,'AVERAGE COST'!$B:$D,3,0))</f>
        <v>FT</v>
      </c>
      <c r="E184" s="48">
        <f>+IF(C184="",0,VLOOKUP(C184,'AVERAGE COST'!$B$3:$E$995,4))</f>
        <v>0</v>
      </c>
      <c r="F184" s="47" t="s">
        <v>179</v>
      </c>
      <c r="G184" s="43">
        <v>113006</v>
      </c>
      <c r="H184" s="47" t="s">
        <v>178</v>
      </c>
      <c r="I184" s="155"/>
      <c r="J184" s="155"/>
      <c r="K184" s="48">
        <v>0</v>
      </c>
      <c r="L184" s="48">
        <v>0</v>
      </c>
      <c r="M184" s="237">
        <f>+IF(M4="n/a",0,IF(M4="INTERMEDIATE CASING 2",(M11+'INITIAL DATA'!C57)*'AFE DETAILED'!$E$184,0))</f>
        <v>0</v>
      </c>
      <c r="N184" s="237">
        <f>+IF(N4="n/a",0,IF(N4="INTERMEDIATE CASING 2",(N11+'INITIAL DATA'!D57)*'AFE DETAILED'!$E$184,0))</f>
        <v>0</v>
      </c>
      <c r="O184" s="237">
        <f>+IF(O4="n/a",0,IF(O4="INTERMEDIATE CASING 2",(O11+'INITIAL DATA'!E57)*'AFE DETAILED'!$E$184,0))</f>
        <v>0</v>
      </c>
      <c r="P184" s="237">
        <f>+IF(P4="n/a",0,IF(P4="INTERMEDIATE CASING 2",(P11+'INITIAL DATA'!F57)*'AFE DETAILED'!$E$184,0))</f>
        <v>0</v>
      </c>
      <c r="Q184" s="237">
        <f>+IF(Q4="n/a",0,IF(Q4="INTERMEDIATE CASING 2",(Q11+'INITIAL DATA'!G57)*'AFE DETAILED'!$E$184,0))</f>
        <v>0</v>
      </c>
      <c r="R184" s="48">
        <f>+IF(R4="n/a",0,IF(R4="INTERMEDIATE CASING 2",(R11+'INITIAL DATA'!H57)*'AFE DETAILED'!$E$184,0))</f>
        <v>0</v>
      </c>
      <c r="S184" s="48"/>
      <c r="T184" s="48">
        <f t="shared" ref="T184:T186" si="66">SUM(K184:R184)</f>
        <v>0</v>
      </c>
    </row>
    <row r="185" spans="1:20" x14ac:dyDescent="0.2">
      <c r="B185" s="43">
        <v>3</v>
      </c>
      <c r="C185" s="155"/>
      <c r="D185" s="265"/>
      <c r="E185" s="266"/>
      <c r="F185" s="265"/>
      <c r="G185" s="43">
        <v>113006</v>
      </c>
      <c r="H185" s="47" t="s">
        <v>178</v>
      </c>
      <c r="I185" s="155"/>
      <c r="J185" s="155"/>
      <c r="K185" s="269">
        <v>0</v>
      </c>
      <c r="L185" s="269">
        <v>0</v>
      </c>
      <c r="M185" s="267"/>
      <c r="N185" s="267"/>
      <c r="O185" s="267"/>
      <c r="P185" s="267"/>
      <c r="Q185" s="267"/>
      <c r="R185" s="266"/>
      <c r="S185" s="48"/>
      <c r="T185" s="48">
        <f t="shared" si="66"/>
        <v>0</v>
      </c>
    </row>
    <row r="186" spans="1:20" x14ac:dyDescent="0.2">
      <c r="B186" s="43">
        <v>4</v>
      </c>
      <c r="C186" s="155"/>
      <c r="D186" s="265"/>
      <c r="E186" s="266"/>
      <c r="F186" s="265"/>
      <c r="G186" s="43">
        <v>113006</v>
      </c>
      <c r="H186" s="47" t="s">
        <v>178</v>
      </c>
      <c r="I186" s="155"/>
      <c r="J186" s="155"/>
      <c r="K186" s="269">
        <v>0</v>
      </c>
      <c r="L186" s="269">
        <v>0</v>
      </c>
      <c r="M186" s="267"/>
      <c r="N186" s="267"/>
      <c r="O186" s="267"/>
      <c r="P186" s="267"/>
      <c r="Q186" s="267"/>
      <c r="R186" s="266"/>
      <c r="S186" s="48"/>
      <c r="T186" s="48">
        <f t="shared" si="66"/>
        <v>0</v>
      </c>
    </row>
    <row r="187" spans="1:20" s="12" customFormat="1" x14ac:dyDescent="0.2">
      <c r="A187" s="28"/>
      <c r="B187" s="66" t="s">
        <v>32</v>
      </c>
      <c r="C187" s="67"/>
      <c r="D187" s="68"/>
      <c r="E187" s="92" t="s">
        <v>177</v>
      </c>
      <c r="F187" s="106"/>
      <c r="G187" s="67"/>
      <c r="H187" s="68"/>
      <c r="I187" s="69"/>
      <c r="J187" s="69"/>
      <c r="K187" s="49">
        <f>SUM(K183:K186)</f>
        <v>0</v>
      </c>
      <c r="L187" s="49">
        <f t="shared" ref="L187:T187" si="67">SUM(L183:L186)</f>
        <v>0</v>
      </c>
      <c r="M187" s="238">
        <f t="shared" si="67"/>
        <v>0</v>
      </c>
      <c r="N187" s="238">
        <f t="shared" si="67"/>
        <v>0</v>
      </c>
      <c r="O187" s="238">
        <f t="shared" si="67"/>
        <v>0</v>
      </c>
      <c r="P187" s="238">
        <f t="shared" si="67"/>
        <v>0</v>
      </c>
      <c r="Q187" s="238">
        <f t="shared" si="67"/>
        <v>0</v>
      </c>
      <c r="R187" s="49">
        <f t="shared" si="67"/>
        <v>0</v>
      </c>
      <c r="S187" s="49"/>
      <c r="T187" s="49">
        <f t="shared" si="67"/>
        <v>0</v>
      </c>
    </row>
    <row r="188" spans="1:20" s="12" customFormat="1" x14ac:dyDescent="0.2">
      <c r="A188" s="28"/>
      <c r="B188" s="66" t="s">
        <v>176</v>
      </c>
      <c r="C188" s="67"/>
      <c r="D188" s="68"/>
      <c r="E188" s="92" t="s">
        <v>180</v>
      </c>
      <c r="F188" s="106"/>
      <c r="G188" s="67"/>
      <c r="H188" s="68"/>
      <c r="I188" s="69"/>
      <c r="J188" s="69"/>
      <c r="K188" s="70"/>
      <c r="L188" s="70"/>
      <c r="M188" s="242"/>
      <c r="N188" s="242"/>
      <c r="O188" s="242"/>
      <c r="P188" s="242"/>
      <c r="Q188" s="242"/>
      <c r="R188" s="70"/>
      <c r="S188" s="70"/>
      <c r="T188" s="71"/>
    </row>
    <row r="189" spans="1:20" x14ac:dyDescent="0.2">
      <c r="B189" s="43">
        <v>1</v>
      </c>
      <c r="C189" s="85">
        <v>11300701</v>
      </c>
      <c r="D189" s="47" t="str">
        <f>+IF(G189="","",VLOOKUP('AFE DETAILED'!C189,'AVERAGE COST'!$B:$D,3,0))</f>
        <v>UNIT</v>
      </c>
      <c r="E189" s="48">
        <f>+IF(C189="",0,VLOOKUP(C189,'AVERAGE COST'!$B$3:$E$995,4))</f>
        <v>0</v>
      </c>
      <c r="F189" s="47" t="s">
        <v>159</v>
      </c>
      <c r="G189" s="43">
        <v>113007</v>
      </c>
      <c r="H189" s="47" t="s">
        <v>182</v>
      </c>
      <c r="I189" s="155"/>
      <c r="J189" s="155"/>
      <c r="K189" s="48">
        <v>0</v>
      </c>
      <c r="L189" s="48">
        <v>0</v>
      </c>
      <c r="M189" s="237">
        <f>+IF(M4="N/A",0,IF(M190=0,0,ROUNDUP((M11-L11)/1000,0)*$E$189))</f>
        <v>0</v>
      </c>
      <c r="N189" s="237">
        <f t="shared" ref="N189:R189" si="68">+IF(N4="N/A",0,IF(N190=0,0,ROUNDUP((N11-M11)/1000,0)*$E$189))</f>
        <v>0</v>
      </c>
      <c r="O189" s="237">
        <f t="shared" si="68"/>
        <v>0</v>
      </c>
      <c r="P189" s="237">
        <f t="shared" si="68"/>
        <v>0</v>
      </c>
      <c r="Q189" s="237">
        <f t="shared" si="68"/>
        <v>0</v>
      </c>
      <c r="R189" s="48">
        <f t="shared" si="68"/>
        <v>0</v>
      </c>
      <c r="S189" s="48"/>
      <c r="T189" s="48">
        <f>SUM(K189:R189)</f>
        <v>0</v>
      </c>
    </row>
    <row r="190" spans="1:20" x14ac:dyDescent="0.2">
      <c r="B190" s="43">
        <v>2</v>
      </c>
      <c r="C190" s="85">
        <v>11300702</v>
      </c>
      <c r="D190" s="47" t="str">
        <f>+IF(G190="","",VLOOKUP('AFE DETAILED'!C190,'AVERAGE COST'!$B:$D,3,0))</f>
        <v>FT</v>
      </c>
      <c r="E190" s="48">
        <f>+IF(C190="",0,VLOOKUP(C190,'AVERAGE COST'!$B$3:$E$995,4))</f>
        <v>0</v>
      </c>
      <c r="F190" s="47" t="s">
        <v>183</v>
      </c>
      <c r="G190" s="43">
        <v>113007</v>
      </c>
      <c r="H190" s="47" t="s">
        <v>182</v>
      </c>
      <c r="I190" s="155"/>
      <c r="J190" s="155"/>
      <c r="K190" s="48">
        <v>0</v>
      </c>
      <c r="L190" s="48">
        <v>0</v>
      </c>
      <c r="M190" s="237">
        <f>+IF(M4="n/a",0,IF(M4="INTERMEDIATE LINER",(M11-L11+'INITIAL DATA'!C57)*'AFE DETAILED'!$E$190,0))</f>
        <v>0</v>
      </c>
      <c r="N190" s="237">
        <f>+IF(N4="n/a",0,IF(N4="INTERMEDIATE LINER",(N11-M11+'INITIAL DATA'!D57)*'AFE DETAILED'!$E$190,0))</f>
        <v>0</v>
      </c>
      <c r="O190" s="237">
        <f>+IF(O4="n/a",0,IF(O4="INTERMEDIATE LINER",(O11-N11+'INITIAL DATA'!E57)*'AFE DETAILED'!$E$190,0))</f>
        <v>0</v>
      </c>
      <c r="P190" s="237">
        <f>+IF(P4="n/a",0,IF(P4="INTERMEDIATE LINER",(P11-O11+'INITIAL DATA'!F57)*'AFE DETAILED'!$E$190,0))</f>
        <v>0</v>
      </c>
      <c r="Q190" s="237">
        <f>+IF(Q4="n/a",0,IF(Q4="INTERMEDIATE LINER",(Q11-P11+'INITIAL DATA'!G57)*'AFE DETAILED'!$E$190,0))</f>
        <v>0</v>
      </c>
      <c r="R190" s="48">
        <f>+IF(R4="n/a",0,IF(R4="INTERMEDIATE LINER",(R11-Q11+'INITIAL DATA'!H57)*'AFE DETAILED'!$E$190,0))</f>
        <v>0</v>
      </c>
      <c r="S190" s="48"/>
      <c r="T190" s="48">
        <f t="shared" ref="T190:T192" si="69">SUM(K190:R190)</f>
        <v>0</v>
      </c>
    </row>
    <row r="191" spans="1:20" x14ac:dyDescent="0.2">
      <c r="B191" s="43">
        <v>3</v>
      </c>
      <c r="C191" s="155"/>
      <c r="D191" s="265"/>
      <c r="E191" s="266"/>
      <c r="F191" s="265"/>
      <c r="G191" s="43">
        <v>113007</v>
      </c>
      <c r="H191" s="47" t="s">
        <v>182</v>
      </c>
      <c r="I191" s="155"/>
      <c r="J191" s="155"/>
      <c r="K191" s="269">
        <v>0</v>
      </c>
      <c r="L191" s="269">
        <v>0</v>
      </c>
      <c r="M191" s="267"/>
      <c r="N191" s="267"/>
      <c r="O191" s="267"/>
      <c r="P191" s="267"/>
      <c r="Q191" s="267"/>
      <c r="R191" s="266"/>
      <c r="S191" s="48"/>
      <c r="T191" s="48">
        <f t="shared" si="69"/>
        <v>0</v>
      </c>
    </row>
    <row r="192" spans="1:20" x14ac:dyDescent="0.2">
      <c r="B192" s="43">
        <v>4</v>
      </c>
      <c r="C192" s="155"/>
      <c r="D192" s="265"/>
      <c r="E192" s="266"/>
      <c r="F192" s="265"/>
      <c r="G192" s="43">
        <v>113007</v>
      </c>
      <c r="H192" s="47" t="s">
        <v>182</v>
      </c>
      <c r="I192" s="155"/>
      <c r="J192" s="155"/>
      <c r="K192" s="269">
        <v>0</v>
      </c>
      <c r="L192" s="269">
        <v>0</v>
      </c>
      <c r="M192" s="267"/>
      <c r="N192" s="267"/>
      <c r="O192" s="267"/>
      <c r="P192" s="267"/>
      <c r="Q192" s="267"/>
      <c r="R192" s="266"/>
      <c r="S192" s="48"/>
      <c r="T192" s="48">
        <f t="shared" si="69"/>
        <v>0</v>
      </c>
    </row>
    <row r="193" spans="1:20" s="12" customFormat="1" x14ac:dyDescent="0.2">
      <c r="A193" s="28"/>
      <c r="B193" s="66" t="s">
        <v>32</v>
      </c>
      <c r="C193" s="67"/>
      <c r="D193" s="68"/>
      <c r="E193" s="92" t="s">
        <v>184</v>
      </c>
      <c r="F193" s="106"/>
      <c r="G193" s="67"/>
      <c r="H193" s="68"/>
      <c r="I193" s="69"/>
      <c r="J193" s="69"/>
      <c r="K193" s="49">
        <f>SUM(K189:K192)</f>
        <v>0</v>
      </c>
      <c r="L193" s="49">
        <f t="shared" ref="L193:T193" si="70">SUM(L189:L192)</f>
        <v>0</v>
      </c>
      <c r="M193" s="238">
        <f t="shared" si="70"/>
        <v>0</v>
      </c>
      <c r="N193" s="238">
        <f t="shared" si="70"/>
        <v>0</v>
      </c>
      <c r="O193" s="238">
        <f t="shared" si="70"/>
        <v>0</v>
      </c>
      <c r="P193" s="238">
        <f t="shared" si="70"/>
        <v>0</v>
      </c>
      <c r="Q193" s="238">
        <f t="shared" si="70"/>
        <v>0</v>
      </c>
      <c r="R193" s="49">
        <f t="shared" si="70"/>
        <v>0</v>
      </c>
      <c r="S193" s="49"/>
      <c r="T193" s="49">
        <f t="shared" si="70"/>
        <v>0</v>
      </c>
    </row>
    <row r="194" spans="1:20" s="12" customFormat="1" x14ac:dyDescent="0.2">
      <c r="A194" s="28"/>
      <c r="B194" s="66" t="s">
        <v>181</v>
      </c>
      <c r="C194" s="67"/>
      <c r="D194" s="68"/>
      <c r="E194" s="92" t="s">
        <v>189</v>
      </c>
      <c r="F194" s="106"/>
      <c r="G194" s="67"/>
      <c r="H194" s="68"/>
      <c r="I194" s="69"/>
      <c r="J194" s="69"/>
      <c r="K194" s="70"/>
      <c r="L194" s="70"/>
      <c r="M194" s="242"/>
      <c r="N194" s="242"/>
      <c r="O194" s="242"/>
      <c r="P194" s="242"/>
      <c r="Q194" s="242"/>
      <c r="R194" s="70"/>
      <c r="S194" s="70"/>
      <c r="T194" s="71"/>
    </row>
    <row r="195" spans="1:20" x14ac:dyDescent="0.2">
      <c r="B195" s="43">
        <v>1</v>
      </c>
      <c r="C195" s="85">
        <v>11300801</v>
      </c>
      <c r="D195" s="47" t="str">
        <f>+IF(G195="","",VLOOKUP('AFE DETAILED'!C195,'AVERAGE COST'!$B:$D,3,0))</f>
        <v>UNIT</v>
      </c>
      <c r="E195" s="48">
        <f>+IF(C195="",0,VLOOKUP(C195,'AVERAGE COST'!$B$3:$E$995,4))</f>
        <v>0</v>
      </c>
      <c r="F195" s="47" t="s">
        <v>159</v>
      </c>
      <c r="G195" s="43">
        <v>113008</v>
      </c>
      <c r="H195" s="47" t="s">
        <v>185</v>
      </c>
      <c r="I195" s="155"/>
      <c r="J195" s="155"/>
      <c r="K195" s="48">
        <v>0</v>
      </c>
      <c r="L195" s="48">
        <v>0</v>
      </c>
      <c r="M195" s="237">
        <f>+IF(M4="N/A",0,IF(M196=0,0,ROUNDUP((M11-L11)/1000,0)*$E$195))</f>
        <v>0</v>
      </c>
      <c r="N195" s="237">
        <f t="shared" ref="N195:R195" si="71">+IF(N4="N/A",0,IF(N196=0,0,ROUNDUP((N11-M11)/1000,0)*$E$195))</f>
        <v>0</v>
      </c>
      <c r="O195" s="237">
        <f t="shared" si="71"/>
        <v>0</v>
      </c>
      <c r="P195" s="237">
        <f t="shared" si="71"/>
        <v>0</v>
      </c>
      <c r="Q195" s="237">
        <f t="shared" si="71"/>
        <v>0</v>
      </c>
      <c r="R195" s="48">
        <f t="shared" si="71"/>
        <v>0</v>
      </c>
      <c r="S195" s="48"/>
      <c r="T195" s="48">
        <f>SUM(K195:R195)</f>
        <v>0</v>
      </c>
    </row>
    <row r="196" spans="1:20" x14ac:dyDescent="0.2">
      <c r="B196" s="43">
        <v>2</v>
      </c>
      <c r="C196" s="85">
        <v>11300802</v>
      </c>
      <c r="D196" s="47" t="str">
        <f>+IF(G196="","",VLOOKUP('AFE DETAILED'!C196,'AVERAGE COST'!$B:$D,3,0))</f>
        <v>FT</v>
      </c>
      <c r="E196" s="48">
        <f>+IF(C196="",0,VLOOKUP(C196,'AVERAGE COST'!$B$3:$E$995,4))</f>
        <v>0</v>
      </c>
      <c r="F196" s="47" t="s">
        <v>186</v>
      </c>
      <c r="G196" s="43">
        <v>113008</v>
      </c>
      <c r="H196" s="47" t="s">
        <v>185</v>
      </c>
      <c r="I196" s="155"/>
      <c r="J196" s="155"/>
      <c r="K196" s="48">
        <v>0</v>
      </c>
      <c r="L196" s="48">
        <v>0</v>
      </c>
      <c r="M196" s="237">
        <f>+IF(M4="n/a",0,IF(M4="PRODUCTION CASING 1",(M11+'INITIAL DATA'!C57)*'AFE DETAILED'!$E$196,0))+IF(M4="n/a",0,IF(M4="PRODUCTION CASING 2",(M11+'INITIAL DATA'!C57)*'AFE DETAILED'!$E$196,0))</f>
        <v>0</v>
      </c>
      <c r="N196" s="237">
        <f>+IF(N4="n/a",0,IF(N4="PRODUCTION CASING 1",(N11+'INITIAL DATA'!D57)*'AFE DETAILED'!$E$196,0))+IF(N4="n/a",0,IF(N4="PRODUCTION CASING 2",(N11+'INITIAL DATA'!D57)*'AFE DETAILED'!$E$196,0))</f>
        <v>0</v>
      </c>
      <c r="O196" s="237">
        <f>+IF(O4="n/a",0,IF(O4="PRODUCTION CASING 1",(O11+'INITIAL DATA'!E57)*'AFE DETAILED'!$E$196,0))+IF(O4="n/a",0,IF(O4="PRODUCTION CASING 2",(O11+'INITIAL DATA'!E57)*'AFE DETAILED'!$E$196,0))</f>
        <v>0</v>
      </c>
      <c r="P196" s="237">
        <f>+IF(P4="n/a",0,IF(P4="PRODUCTION CASING 1",(P11+'INITIAL DATA'!F57)*'AFE DETAILED'!$E$196,0))+IF(P4="n/a",0,IF(P4="PRODUCTION CASING 2",(P11+'INITIAL DATA'!F57)*'AFE DETAILED'!$E$196,0))</f>
        <v>0</v>
      </c>
      <c r="Q196" s="237">
        <f>+IF(Q4="n/a",0,IF(Q4="PRODUCTION CASING 1",(Q11+'INITIAL DATA'!G57)*'AFE DETAILED'!$E$196,0))+IF(Q4="n/a",0,IF(Q4="PRODUCTION CASING 2",(Q11+'INITIAL DATA'!G57)*'AFE DETAILED'!$E$196,0))</f>
        <v>0</v>
      </c>
      <c r="R196" s="48">
        <f>+IF(R4="n/a",0,IF(R4="PRODUCTION CASING 1",(R11+'INITIAL DATA'!H57)*'AFE DETAILED'!$E$196,0))+IF(R4="n/a",0,IF(R4="PRODUCTION CASING 2",(R11+'INITIAL DATA'!H57)*'AFE DETAILED'!$E$196,0))</f>
        <v>0</v>
      </c>
      <c r="S196" s="48"/>
      <c r="T196" s="48">
        <f t="shared" ref="T196:T198" si="72">SUM(K196:R196)</f>
        <v>0</v>
      </c>
    </row>
    <row r="197" spans="1:20" x14ac:dyDescent="0.2">
      <c r="B197" s="43">
        <v>3</v>
      </c>
      <c r="C197" s="155"/>
      <c r="D197" s="265"/>
      <c r="E197" s="266"/>
      <c r="F197" s="265"/>
      <c r="G197" s="43">
        <v>113008</v>
      </c>
      <c r="H197" s="47" t="s">
        <v>185</v>
      </c>
      <c r="I197" s="155"/>
      <c r="J197" s="155"/>
      <c r="K197" s="269">
        <v>0</v>
      </c>
      <c r="L197" s="269">
        <v>0</v>
      </c>
      <c r="M197" s="267"/>
      <c r="N197" s="267"/>
      <c r="O197" s="267"/>
      <c r="P197" s="267"/>
      <c r="Q197" s="267"/>
      <c r="R197" s="266"/>
      <c r="S197" s="48"/>
      <c r="T197" s="48">
        <f t="shared" si="72"/>
        <v>0</v>
      </c>
    </row>
    <row r="198" spans="1:20" x14ac:dyDescent="0.2">
      <c r="B198" s="43">
        <v>4</v>
      </c>
      <c r="C198" s="155"/>
      <c r="D198" s="265"/>
      <c r="E198" s="266"/>
      <c r="F198" s="265"/>
      <c r="G198" s="43">
        <v>113008</v>
      </c>
      <c r="H198" s="47" t="s">
        <v>185</v>
      </c>
      <c r="I198" s="155"/>
      <c r="J198" s="155"/>
      <c r="K198" s="269">
        <v>0</v>
      </c>
      <c r="L198" s="269">
        <v>0</v>
      </c>
      <c r="M198" s="267"/>
      <c r="N198" s="267"/>
      <c r="O198" s="267"/>
      <c r="P198" s="267"/>
      <c r="Q198" s="267"/>
      <c r="R198" s="266"/>
      <c r="S198" s="48"/>
      <c r="T198" s="48">
        <f t="shared" si="72"/>
        <v>0</v>
      </c>
    </row>
    <row r="199" spans="1:20" s="12" customFormat="1" x14ac:dyDescent="0.2">
      <c r="A199" s="28"/>
      <c r="B199" s="66" t="s">
        <v>32</v>
      </c>
      <c r="C199" s="67"/>
      <c r="D199" s="68"/>
      <c r="E199" s="92" t="s">
        <v>190</v>
      </c>
      <c r="F199" s="106"/>
      <c r="G199" s="67"/>
      <c r="H199" s="68"/>
      <c r="I199" s="69"/>
      <c r="J199" s="69"/>
      <c r="K199" s="49">
        <f>SUM(K195:K198)</f>
        <v>0</v>
      </c>
      <c r="L199" s="49">
        <f t="shared" ref="L199:T199" si="73">SUM(L195:L198)</f>
        <v>0</v>
      </c>
      <c r="M199" s="238">
        <f t="shared" si="73"/>
        <v>0</v>
      </c>
      <c r="N199" s="238">
        <f t="shared" si="73"/>
        <v>0</v>
      </c>
      <c r="O199" s="238">
        <f t="shared" si="73"/>
        <v>0</v>
      </c>
      <c r="P199" s="238">
        <f t="shared" si="73"/>
        <v>0</v>
      </c>
      <c r="Q199" s="238">
        <f t="shared" si="73"/>
        <v>0</v>
      </c>
      <c r="R199" s="49">
        <f t="shared" si="73"/>
        <v>0</v>
      </c>
      <c r="S199" s="49"/>
      <c r="T199" s="49">
        <f t="shared" si="73"/>
        <v>0</v>
      </c>
    </row>
    <row r="200" spans="1:20" s="12" customFormat="1" x14ac:dyDescent="0.2">
      <c r="A200" s="28"/>
      <c r="B200" s="66" t="s">
        <v>187</v>
      </c>
      <c r="C200" s="67"/>
      <c r="D200" s="68"/>
      <c r="E200" s="92" t="s">
        <v>191</v>
      </c>
      <c r="F200" s="106"/>
      <c r="G200" s="67"/>
      <c r="H200" s="68"/>
      <c r="I200" s="69"/>
      <c r="J200" s="69"/>
      <c r="K200" s="70"/>
      <c r="L200" s="70"/>
      <c r="M200" s="242"/>
      <c r="N200" s="242"/>
      <c r="O200" s="242"/>
      <c r="P200" s="242"/>
      <c r="Q200" s="242"/>
      <c r="R200" s="70"/>
      <c r="S200" s="70"/>
      <c r="T200" s="71"/>
    </row>
    <row r="201" spans="1:20" x14ac:dyDescent="0.2">
      <c r="B201" s="43">
        <v>1</v>
      </c>
      <c r="C201" s="85">
        <v>11300801</v>
      </c>
      <c r="D201" s="47" t="str">
        <f>+IF(G201="","",VLOOKUP('AFE DETAILED'!C201,'AVERAGE COST'!$B:$D,3,0))</f>
        <v>UNIT</v>
      </c>
      <c r="E201" s="48">
        <f>+IF(C201="",0,VLOOKUP(C201,'AVERAGE COST'!$B$3:$E$995,4))</f>
        <v>0</v>
      </c>
      <c r="F201" s="47" t="s">
        <v>159</v>
      </c>
      <c r="G201" s="43">
        <v>113008</v>
      </c>
      <c r="H201" s="47" t="s">
        <v>185</v>
      </c>
      <c r="I201" s="155"/>
      <c r="J201" s="155"/>
      <c r="K201" s="48">
        <v>0</v>
      </c>
      <c r="L201" s="48">
        <v>0</v>
      </c>
      <c r="M201" s="237">
        <f>+IF(M4="N/A",0,IF(M202=0,0,ROUNDUP((M11-L11)/1000,0)*$E$201))</f>
        <v>0</v>
      </c>
      <c r="N201" s="237">
        <f t="shared" ref="N201:R201" si="74">+IF(N4="N/A",0,IF(N202=0,0,ROUNDUP((N11-M11)/1000,0)*$E$201))</f>
        <v>0</v>
      </c>
      <c r="O201" s="237">
        <f t="shared" si="74"/>
        <v>0</v>
      </c>
      <c r="P201" s="237">
        <f t="shared" si="74"/>
        <v>0</v>
      </c>
      <c r="Q201" s="237">
        <f t="shared" si="74"/>
        <v>0</v>
      </c>
      <c r="R201" s="48">
        <f t="shared" si="74"/>
        <v>0</v>
      </c>
      <c r="S201" s="48"/>
      <c r="T201" s="48">
        <f>SUM(K201:R201)</f>
        <v>0</v>
      </c>
    </row>
    <row r="202" spans="1:20" x14ac:dyDescent="0.2">
      <c r="B202" s="43">
        <v>2</v>
      </c>
      <c r="C202" s="43">
        <v>11300803</v>
      </c>
      <c r="D202" s="47" t="str">
        <f>+IF(G202="","",VLOOKUP('AFE DETAILED'!C202,'AVERAGE COST'!$B:$D,3,0))</f>
        <v>FT</v>
      </c>
      <c r="E202" s="48">
        <f>+IF(C202="",0,VLOOKUP(C202,'AVERAGE COST'!$B$3:$E$995,4))</f>
        <v>0</v>
      </c>
      <c r="F202" s="47" t="s">
        <v>193</v>
      </c>
      <c r="G202" s="43">
        <v>113008</v>
      </c>
      <c r="H202" s="47" t="s">
        <v>185</v>
      </c>
      <c r="I202" s="155"/>
      <c r="J202" s="155"/>
      <c r="K202" s="48">
        <v>0</v>
      </c>
      <c r="L202" s="48">
        <v>0</v>
      </c>
      <c r="M202" s="237">
        <f>+IF(M4="n/a",0,IF(M4="PRODUCTION LINER 1",(M11-L11+'INITIAL DATA'!C57)*'AFE DETAILED'!$E$202,0))+IF(M4="n/a",0,IF(M4="PRODUCTION LINER 2",(M11-L11+'INITIAL DATA'!C57)*'AFE DETAILED'!$E$202,0))</f>
        <v>0</v>
      </c>
      <c r="N202" s="237">
        <f>+IF(N4="n/a",0,IF(N4="PRODUCTION LINER 1",(N11-M11+'INITIAL DATA'!D57)*'AFE DETAILED'!$E$202,0))+IF(N4="n/a",0,IF(N4="PRODUCTION LINER 2",(N11-M11+'INITIAL DATA'!D57)*'AFE DETAILED'!$E$202,0))</f>
        <v>0</v>
      </c>
      <c r="O202" s="237">
        <f>+IF(O4="n/a",0,IF(O4="PRODUCTION LINER 1",(O11-N11+'INITIAL DATA'!E57)*'AFE DETAILED'!$E$202,0))+IF(O4="n/a",0,IF(O4="PRODUCTION LINER 2",(O11-N11+'INITIAL DATA'!E57)*'AFE DETAILED'!$E$202,0))</f>
        <v>0</v>
      </c>
      <c r="P202" s="237">
        <f>+IF(P4="n/a",0,IF(P4="PRODUCTION LINER 1",(P11-O11+'INITIAL DATA'!F57)*'AFE DETAILED'!$E$202,0))+IF(P4="n/a",0,IF(P4="PRODUCTION LINER 2",(P11-O11+'INITIAL DATA'!F57)*'AFE DETAILED'!$E$202,0))</f>
        <v>0</v>
      </c>
      <c r="Q202" s="237">
        <f>+IF(Q4="n/a",0,IF(Q4="PRODUCTION LINER 1",(Q11-P11+'INITIAL DATA'!G57)*'AFE DETAILED'!$E$202,0))+IF(Q4="n/a",0,IF(Q4="PRODUCTION LINER 2",(Q11-P11+'INITIAL DATA'!G57)*'AFE DETAILED'!$E$202,0))</f>
        <v>0</v>
      </c>
      <c r="R202" s="48">
        <f>+IF(R4="n/a",0,IF(R4="PRODUCTION LINER 1",(R11-Q11+'INITIAL DATA'!H57)*'AFE DETAILED'!$E$202,0))+IF(R4="n/a",0,IF(R4="PRODUCTION LINER 2",(R11-Q11+'INITIAL DATA'!H57)*'AFE DETAILED'!$E$202,0))</f>
        <v>0</v>
      </c>
      <c r="S202" s="48"/>
      <c r="T202" s="48">
        <f t="shared" ref="T202:T204" si="75">SUM(K202:R202)</f>
        <v>0</v>
      </c>
    </row>
    <row r="203" spans="1:20" x14ac:dyDescent="0.2">
      <c r="B203" s="43">
        <v>3</v>
      </c>
      <c r="C203" s="155"/>
      <c r="D203" s="265"/>
      <c r="E203" s="266"/>
      <c r="F203" s="265"/>
      <c r="G203" s="43">
        <v>113008</v>
      </c>
      <c r="H203" s="47" t="s">
        <v>185</v>
      </c>
      <c r="I203" s="155"/>
      <c r="J203" s="155"/>
      <c r="K203" s="269">
        <v>0</v>
      </c>
      <c r="L203" s="269">
        <v>0</v>
      </c>
      <c r="M203" s="267"/>
      <c r="N203" s="267"/>
      <c r="O203" s="267"/>
      <c r="P203" s="267"/>
      <c r="Q203" s="267"/>
      <c r="R203" s="266"/>
      <c r="S203" s="48"/>
      <c r="T203" s="48">
        <f t="shared" si="75"/>
        <v>0</v>
      </c>
    </row>
    <row r="204" spans="1:20" x14ac:dyDescent="0.2">
      <c r="B204" s="43">
        <v>4</v>
      </c>
      <c r="C204" s="155"/>
      <c r="D204" s="265"/>
      <c r="E204" s="266"/>
      <c r="F204" s="265"/>
      <c r="G204" s="43">
        <v>113008</v>
      </c>
      <c r="H204" s="47" t="s">
        <v>185</v>
      </c>
      <c r="I204" s="155"/>
      <c r="J204" s="155"/>
      <c r="K204" s="269">
        <v>0</v>
      </c>
      <c r="L204" s="269">
        <v>0</v>
      </c>
      <c r="M204" s="267"/>
      <c r="N204" s="267"/>
      <c r="O204" s="267"/>
      <c r="P204" s="267"/>
      <c r="Q204" s="267"/>
      <c r="R204" s="266"/>
      <c r="S204" s="48"/>
      <c r="T204" s="48">
        <f t="shared" si="75"/>
        <v>0</v>
      </c>
    </row>
    <row r="205" spans="1:20" s="12" customFormat="1" x14ac:dyDescent="0.2">
      <c r="A205" s="28"/>
      <c r="B205" s="66" t="s">
        <v>32</v>
      </c>
      <c r="C205" s="67"/>
      <c r="D205" s="68"/>
      <c r="E205" s="92" t="s">
        <v>194</v>
      </c>
      <c r="F205" s="106"/>
      <c r="G205" s="67"/>
      <c r="H205" s="68"/>
      <c r="I205" s="69"/>
      <c r="J205" s="69"/>
      <c r="K205" s="49">
        <f>SUM(K201:K204)</f>
        <v>0</v>
      </c>
      <c r="L205" s="49">
        <f t="shared" ref="L205:T205" si="76">SUM(L201:L204)</f>
        <v>0</v>
      </c>
      <c r="M205" s="238">
        <f t="shared" si="76"/>
        <v>0</v>
      </c>
      <c r="N205" s="238">
        <f t="shared" si="76"/>
        <v>0</v>
      </c>
      <c r="O205" s="238">
        <f t="shared" si="76"/>
        <v>0</v>
      </c>
      <c r="P205" s="238">
        <f t="shared" si="76"/>
        <v>0</v>
      </c>
      <c r="Q205" s="238">
        <f t="shared" si="76"/>
        <v>0</v>
      </c>
      <c r="R205" s="49">
        <f t="shared" si="76"/>
        <v>0</v>
      </c>
      <c r="S205" s="49"/>
      <c r="T205" s="49">
        <f t="shared" si="76"/>
        <v>0</v>
      </c>
    </row>
    <row r="206" spans="1:20" s="12" customFormat="1" x14ac:dyDescent="0.2">
      <c r="A206" s="28"/>
      <c r="B206" s="66" t="s">
        <v>192</v>
      </c>
      <c r="C206" s="67"/>
      <c r="D206" s="68"/>
      <c r="E206" s="92" t="s">
        <v>188</v>
      </c>
      <c r="F206" s="106"/>
      <c r="G206" s="67"/>
      <c r="H206" s="68"/>
      <c r="I206" s="69"/>
      <c r="J206" s="69"/>
      <c r="K206" s="70"/>
      <c r="L206" s="70"/>
      <c r="M206" s="242"/>
      <c r="N206" s="242"/>
      <c r="O206" s="242"/>
      <c r="P206" s="242"/>
      <c r="Q206" s="242"/>
      <c r="R206" s="70"/>
      <c r="S206" s="70"/>
      <c r="T206" s="71"/>
    </row>
    <row r="207" spans="1:20" x14ac:dyDescent="0.2">
      <c r="B207" s="43">
        <v>1</v>
      </c>
      <c r="C207" s="85">
        <v>11300901</v>
      </c>
      <c r="D207" s="47" t="str">
        <f>+IF(G207="","",VLOOKUP('AFE DETAILED'!C207,'AVERAGE COST'!$B:$D,3,0))</f>
        <v>UNIT</v>
      </c>
      <c r="E207" s="48">
        <f>+IF(C207="",0,VLOOKUP(C207,'AVERAGE COST'!$B$3:$E$995,4))</f>
        <v>0</v>
      </c>
      <c r="F207" s="47" t="s">
        <v>159</v>
      </c>
      <c r="G207" s="43">
        <v>113009</v>
      </c>
      <c r="H207" s="47" t="s">
        <v>195</v>
      </c>
      <c r="I207" s="155"/>
      <c r="J207" s="155"/>
      <c r="K207" s="48">
        <v>0</v>
      </c>
      <c r="L207" s="48">
        <v>0</v>
      </c>
      <c r="M207" s="237">
        <f>+IF(M4="N/A",0,IF(M208=0,0,ROUNDUP((M11-L11)/1000,0)*$E$207))</f>
        <v>0</v>
      </c>
      <c r="N207" s="237">
        <f t="shared" ref="N207:Q207" si="77">+IF(N4="N/A",0,IF(N208=0,0,ROUNDUP((N11-M11)/1000,0)*$E$207))</f>
        <v>0</v>
      </c>
      <c r="O207" s="237">
        <f t="shared" si="77"/>
        <v>0</v>
      </c>
      <c r="P207" s="237">
        <f t="shared" si="77"/>
        <v>0</v>
      </c>
      <c r="Q207" s="237">
        <f t="shared" si="77"/>
        <v>0</v>
      </c>
      <c r="R207" s="48">
        <f>+IF(R4="N/A",0,IF(R208=0,0,ROUNDUP((R11)/1000,0)*$E$207))</f>
        <v>0</v>
      </c>
      <c r="S207" s="48"/>
      <c r="T207" s="48">
        <f>SUM(K207:R207)</f>
        <v>0</v>
      </c>
    </row>
    <row r="208" spans="1:20" x14ac:dyDescent="0.2">
      <c r="B208" s="43">
        <v>2</v>
      </c>
      <c r="C208" s="85">
        <v>11300902</v>
      </c>
      <c r="D208" s="47" t="str">
        <f>+IF(G208="","",VLOOKUP('AFE DETAILED'!C208,'AVERAGE COST'!$B:$D,3,0))</f>
        <v>FT</v>
      </c>
      <c r="E208" s="48">
        <f>+IF(C208="",0,VLOOKUP(C208,'AVERAGE COST'!$B$3:$E$995,4))</f>
        <v>0</v>
      </c>
      <c r="F208" s="47" t="s">
        <v>188</v>
      </c>
      <c r="G208" s="43">
        <v>113009</v>
      </c>
      <c r="H208" s="47" t="s">
        <v>195</v>
      </c>
      <c r="I208" s="155"/>
      <c r="J208" s="155"/>
      <c r="K208" s="48">
        <v>0</v>
      </c>
      <c r="L208" s="48">
        <v>0</v>
      </c>
      <c r="M208" s="237">
        <f>+IF(M4="n/a",0,IF(M4="COMPLETION",(M11+'INITIAL DATA'!C57)*'AFE DETAILED'!$E$208,0))</f>
        <v>0</v>
      </c>
      <c r="N208" s="237">
        <f>+IF(N4="n/a",0,IF(N4="COMPLETION",(N11+'INITIAL DATA'!D57)*'AFE DETAILED'!$E$208,0))</f>
        <v>0</v>
      </c>
      <c r="O208" s="237">
        <f>+IF(O4="n/a",0,IF(O4="COMPLETION",(O11+'INITIAL DATA'!E57)*'AFE DETAILED'!$E$208,0))</f>
        <v>0</v>
      </c>
      <c r="P208" s="237">
        <f>+IF(P4="n/a",0,IF(P4="COMPLETION",(P11+'INITIAL DATA'!F57)*'AFE DETAILED'!$E$208,0))</f>
        <v>0</v>
      </c>
      <c r="Q208" s="237">
        <f>+IF(Q4="n/a",0,IF(Q4="COMPLETION",(Q11+'INITIAL DATA'!G57)*'AFE DETAILED'!$E$208,0))</f>
        <v>0</v>
      </c>
      <c r="R208" s="48">
        <f>+IF(R4="n/a",0,IF(R4="COMPLETION",(IF((R11+'INITIAL DATA'!H57-'INITIAL DATA'!H64)&lt;0,0,R11+'INITIAL DATA'!H57-'INITIAL DATA'!H64))*'AFE DETAILED'!$E$208,0))</f>
        <v>0</v>
      </c>
      <c r="S208" s="48"/>
      <c r="T208" s="48">
        <f t="shared" ref="T208:T211" si="78">SUM(K208:R208)</f>
        <v>0</v>
      </c>
    </row>
    <row r="209" spans="1:20" x14ac:dyDescent="0.2">
      <c r="B209" s="43">
        <v>3</v>
      </c>
      <c r="C209" s="155"/>
      <c r="D209" s="265"/>
      <c r="E209" s="266"/>
      <c r="F209" s="265"/>
      <c r="G209" s="43">
        <v>113009</v>
      </c>
      <c r="H209" s="47" t="s">
        <v>195</v>
      </c>
      <c r="I209" s="155"/>
      <c r="J209" s="155"/>
      <c r="K209" s="269">
        <v>0</v>
      </c>
      <c r="L209" s="269">
        <v>0</v>
      </c>
      <c r="M209" s="267"/>
      <c r="N209" s="267"/>
      <c r="O209" s="267"/>
      <c r="P209" s="267"/>
      <c r="Q209" s="267"/>
      <c r="R209" s="266"/>
      <c r="S209" s="48"/>
      <c r="T209" s="48">
        <f t="shared" si="78"/>
        <v>0</v>
      </c>
    </row>
    <row r="210" spans="1:20" x14ac:dyDescent="0.2">
      <c r="B210" s="43">
        <v>4</v>
      </c>
      <c r="C210" s="155"/>
      <c r="D210" s="265"/>
      <c r="E210" s="266"/>
      <c r="F210" s="265"/>
      <c r="G210" s="43">
        <v>113009</v>
      </c>
      <c r="H210" s="47" t="s">
        <v>195</v>
      </c>
      <c r="I210" s="155"/>
      <c r="J210" s="155"/>
      <c r="K210" s="269">
        <v>0</v>
      </c>
      <c r="L210" s="269">
        <v>0</v>
      </c>
      <c r="M210" s="267"/>
      <c r="N210" s="267"/>
      <c r="O210" s="267"/>
      <c r="P210" s="267"/>
      <c r="Q210" s="267"/>
      <c r="R210" s="266"/>
      <c r="S210" s="48"/>
      <c r="T210" s="48">
        <f t="shared" si="78"/>
        <v>0</v>
      </c>
    </row>
    <row r="211" spans="1:20" x14ac:dyDescent="0.2">
      <c r="B211" s="43">
        <v>5</v>
      </c>
      <c r="C211" s="155"/>
      <c r="D211" s="265"/>
      <c r="E211" s="266"/>
      <c r="F211" s="265"/>
      <c r="G211" s="43">
        <v>113009</v>
      </c>
      <c r="H211" s="47" t="s">
        <v>195</v>
      </c>
      <c r="I211" s="155"/>
      <c r="J211" s="155"/>
      <c r="K211" s="269">
        <v>0</v>
      </c>
      <c r="L211" s="269">
        <v>0</v>
      </c>
      <c r="M211" s="267"/>
      <c r="N211" s="267"/>
      <c r="O211" s="267"/>
      <c r="P211" s="267"/>
      <c r="Q211" s="267"/>
      <c r="R211" s="266"/>
      <c r="S211" s="48"/>
      <c r="T211" s="48">
        <f t="shared" si="78"/>
        <v>0</v>
      </c>
    </row>
    <row r="212" spans="1:20" s="12" customFormat="1" x14ac:dyDescent="0.2">
      <c r="A212" s="28"/>
      <c r="B212" s="66" t="s">
        <v>32</v>
      </c>
      <c r="C212" s="67"/>
      <c r="D212" s="68"/>
      <c r="E212" s="92" t="s">
        <v>196</v>
      </c>
      <c r="F212" s="106"/>
      <c r="G212" s="67"/>
      <c r="H212" s="68"/>
      <c r="I212" s="69"/>
      <c r="J212" s="69"/>
      <c r="K212" s="49">
        <f>SUM(K207:K211)</f>
        <v>0</v>
      </c>
      <c r="L212" s="49">
        <f t="shared" ref="L212:T212" si="79">SUM(L207:L211)</f>
        <v>0</v>
      </c>
      <c r="M212" s="238">
        <f t="shared" si="79"/>
        <v>0</v>
      </c>
      <c r="N212" s="238">
        <f t="shared" si="79"/>
        <v>0</v>
      </c>
      <c r="O212" s="238">
        <f t="shared" si="79"/>
        <v>0</v>
      </c>
      <c r="P212" s="238">
        <f t="shared" si="79"/>
        <v>0</v>
      </c>
      <c r="Q212" s="238">
        <f t="shared" si="79"/>
        <v>0</v>
      </c>
      <c r="R212" s="49">
        <f t="shared" si="79"/>
        <v>0</v>
      </c>
      <c r="S212" s="49"/>
      <c r="T212" s="49">
        <f t="shared" si="79"/>
        <v>0</v>
      </c>
    </row>
    <row r="213" spans="1:20" s="12" customFormat="1" x14ac:dyDescent="0.2">
      <c r="A213" s="28"/>
      <c r="B213" s="66" t="s">
        <v>197</v>
      </c>
      <c r="C213" s="67"/>
      <c r="D213" s="68"/>
      <c r="E213" s="92" t="s">
        <v>209</v>
      </c>
      <c r="F213" s="106"/>
      <c r="G213" s="67"/>
      <c r="H213" s="68"/>
      <c r="I213" s="69"/>
      <c r="J213" s="69"/>
      <c r="K213" s="70"/>
      <c r="L213" s="70"/>
      <c r="M213" s="242"/>
      <c r="N213" s="242"/>
      <c r="O213" s="242"/>
      <c r="P213" s="242"/>
      <c r="Q213" s="242"/>
      <c r="R213" s="70"/>
      <c r="S213" s="70"/>
      <c r="T213" s="71"/>
    </row>
    <row r="214" spans="1:20" ht="25.5" x14ac:dyDescent="0.2">
      <c r="B214" s="43">
        <v>1</v>
      </c>
      <c r="C214" s="85">
        <v>11301001</v>
      </c>
      <c r="D214" s="47" t="str">
        <f>+IF(G214="","",VLOOKUP('AFE DETAILED'!C214,'AVERAGE COST'!$B:$D,3,0))</f>
        <v>UNIT</v>
      </c>
      <c r="E214" s="48">
        <f>+IF(C214="",0,VLOOKUP(C214,'AVERAGE COST'!$B$3:$E$995,4))</f>
        <v>0</v>
      </c>
      <c r="F214" s="47" t="s">
        <v>159</v>
      </c>
      <c r="G214" s="43">
        <v>113010</v>
      </c>
      <c r="H214" s="47" t="s">
        <v>198</v>
      </c>
      <c r="I214" s="155"/>
      <c r="J214" s="155"/>
      <c r="K214" s="48">
        <v>0</v>
      </c>
      <c r="L214" s="48">
        <v>0</v>
      </c>
      <c r="M214" s="237">
        <f>+IF(M4="n/a",0,'INITIAL DATA'!C58)</f>
        <v>0</v>
      </c>
      <c r="N214" s="237">
        <f>+IF(N4="n/a",0,'INITIAL DATA'!D58)</f>
        <v>0</v>
      </c>
      <c r="O214" s="237">
        <f>+IF(O4="n/a",0,'INITIAL DATA'!E58)</f>
        <v>0</v>
      </c>
      <c r="P214" s="237">
        <f>+IF(P4="n/a",0,'INITIAL DATA'!F58)</f>
        <v>0</v>
      </c>
      <c r="Q214" s="237">
        <f>+IF(Q4="n/a",0,'INITIAL DATA'!G58)</f>
        <v>0</v>
      </c>
      <c r="R214" s="48">
        <f>+IF(R4="n/a",0,'INITIAL DATA'!H58)</f>
        <v>0</v>
      </c>
      <c r="S214" s="48"/>
      <c r="T214" s="48">
        <f>SUM(K214:R214)</f>
        <v>0</v>
      </c>
    </row>
    <row r="215" spans="1:20" ht="25.5" x14ac:dyDescent="0.2">
      <c r="B215" s="43">
        <v>2</v>
      </c>
      <c r="C215" s="85">
        <v>11301002</v>
      </c>
      <c r="D215" s="47" t="str">
        <f>+IF(G215="","",VLOOKUP('AFE DETAILED'!C215,'AVERAGE COST'!$B:$D,3,0))</f>
        <v>UNIT</v>
      </c>
      <c r="E215" s="48">
        <f>+IF(C215="",0,VLOOKUP(C215,'AVERAGE COST'!$B$3:$E$995,4))</f>
        <v>0</v>
      </c>
      <c r="F215" s="47" t="s">
        <v>199</v>
      </c>
      <c r="G215" s="43">
        <v>113010</v>
      </c>
      <c r="H215" s="47" t="s">
        <v>198</v>
      </c>
      <c r="I215" s="155"/>
      <c r="J215" s="155"/>
      <c r="K215" s="48">
        <v>0</v>
      </c>
      <c r="L215" s="48">
        <v>0</v>
      </c>
      <c r="M215" s="237">
        <f>IF(M4="n/a",0,IF('INITIAL DATA'!C59="CONVENTIONAL",'AFE DETAILED'!$E$215,IF('INITIAL DATA'!C59="BOTH",'AFE DETAILED'!$E$215,0)))</f>
        <v>0</v>
      </c>
      <c r="N215" s="237">
        <f>IF(N4="n/a",0,IF('INITIAL DATA'!D59="CONVENTIONAL",'AFE DETAILED'!$E$215,IF('INITIAL DATA'!D59="BOTH",'AFE DETAILED'!$E$215,0)))</f>
        <v>0</v>
      </c>
      <c r="O215" s="237">
        <f>IF(O4="n/a",0,IF('INITIAL DATA'!E59="CONVENTIONAL",'AFE DETAILED'!$E$215,IF('INITIAL DATA'!E59="BOTH",'AFE DETAILED'!$E$215,0)))</f>
        <v>0</v>
      </c>
      <c r="P215" s="237">
        <f>IF(P4="n/a",0,IF('INITIAL DATA'!F59="CONVENTIONAL",'AFE DETAILED'!$E$215,IF('INITIAL DATA'!F59="BOTH",'AFE DETAILED'!$E$215,0)))</f>
        <v>0</v>
      </c>
      <c r="Q215" s="237">
        <f>IF(Q4="n/a",0,IF('INITIAL DATA'!G59="CONVENTIONAL",'AFE DETAILED'!$E$215,IF('INITIAL DATA'!G59="BOTH",'AFE DETAILED'!$E$215,0)))</f>
        <v>0</v>
      </c>
      <c r="R215" s="48">
        <f>IF(R4="n/a",0,IF('INITIAL DATA'!H59="CONVENTIONAL",'AFE DETAILED'!$E$215,IF('INITIAL DATA'!H59="BOTH",'AFE DETAILED'!$E$215,0)))</f>
        <v>0</v>
      </c>
      <c r="S215" s="48"/>
      <c r="T215" s="48">
        <f t="shared" ref="T215:T228" si="80">SUM(K215:R215)</f>
        <v>0</v>
      </c>
    </row>
    <row r="216" spans="1:20" ht="25.5" x14ac:dyDescent="0.2">
      <c r="B216" s="43">
        <v>3</v>
      </c>
      <c r="C216" s="85">
        <v>11301003</v>
      </c>
      <c r="D216" s="47" t="str">
        <f>+IF(G216="","",VLOOKUP('AFE DETAILED'!C216,'AVERAGE COST'!$B:$D,3,0))</f>
        <v>UNIT</v>
      </c>
      <c r="E216" s="48">
        <f>+IF(C216="",0,VLOOKUP(C216,'AVERAGE COST'!$B$3:$E$995,4))</f>
        <v>0</v>
      </c>
      <c r="F216" s="47" t="s">
        <v>96</v>
      </c>
      <c r="G216" s="43">
        <v>113010</v>
      </c>
      <c r="H216" s="47" t="s">
        <v>198</v>
      </c>
      <c r="I216" s="155"/>
      <c r="J216" s="155"/>
      <c r="K216" s="48">
        <v>0</v>
      </c>
      <c r="L216" s="48">
        <v>0</v>
      </c>
      <c r="M216" s="237">
        <v>0</v>
      </c>
      <c r="N216" s="237">
        <v>0</v>
      </c>
      <c r="O216" s="237">
        <v>0</v>
      </c>
      <c r="P216" s="237">
        <v>0</v>
      </c>
      <c r="Q216" s="237">
        <v>0</v>
      </c>
      <c r="R216" s="48">
        <v>0</v>
      </c>
      <c r="S216" s="48"/>
      <c r="T216" s="48">
        <f t="shared" si="80"/>
        <v>0</v>
      </c>
    </row>
    <row r="217" spans="1:20" ht="25.5" x14ac:dyDescent="0.2">
      <c r="B217" s="43">
        <v>4</v>
      </c>
      <c r="C217" s="85">
        <v>11301004</v>
      </c>
      <c r="D217" s="47" t="str">
        <f>+IF(G217="","",VLOOKUP('AFE DETAILED'!C217,'AVERAGE COST'!$B:$D,3,0))</f>
        <v>UNIT</v>
      </c>
      <c r="E217" s="48">
        <f>+IF(C217="",0,VLOOKUP(C217,'AVERAGE COST'!$B$3:$E$995,4))</f>
        <v>0</v>
      </c>
      <c r="F217" s="47" t="s">
        <v>200</v>
      </c>
      <c r="G217" s="43">
        <v>113010</v>
      </c>
      <c r="H217" s="47" t="s">
        <v>198</v>
      </c>
      <c r="I217" s="155"/>
      <c r="J217" s="155"/>
      <c r="K217" s="48">
        <v>0</v>
      </c>
      <c r="L217" s="48">
        <v>0</v>
      </c>
      <c r="M217" s="237">
        <f>IF(M4="n/a",0,IF('INITIAL DATA'!C59="EXPANDABLE",'AFE DETAILED'!$E$217,IF('INITIAL DATA'!C59="BOTH",'AFE DETAILED'!$E$217,0)))</f>
        <v>0</v>
      </c>
      <c r="N217" s="237">
        <f>IF(N4="n/a",0,IF('INITIAL DATA'!D59="EXPANDABLE",'AFE DETAILED'!$E$217,IF('INITIAL DATA'!D59="BOTH",'AFE DETAILED'!$E$217,0)))</f>
        <v>0</v>
      </c>
      <c r="O217" s="237">
        <f>IF(O4="n/a",0,IF('INITIAL DATA'!E59="EXPANDABLE",'AFE DETAILED'!$E$217,IF('INITIAL DATA'!E59="BOTH",'AFE DETAILED'!$E$217,0)))</f>
        <v>0</v>
      </c>
      <c r="P217" s="237">
        <f>IF(P4="n/a",0,IF('INITIAL DATA'!F59="EXPANDABLE",'AFE DETAILED'!$E$217,IF('INITIAL DATA'!F59="BOTH",'AFE DETAILED'!$E$217,0)))</f>
        <v>0</v>
      </c>
      <c r="Q217" s="237">
        <f>IF(Q4="n/a",0,IF('INITIAL DATA'!G59="EXPANDABLE",'AFE DETAILED'!$E$217,IF('INITIAL DATA'!G59="BOTH",'AFE DETAILED'!$E$217,0)))</f>
        <v>0</v>
      </c>
      <c r="R217" s="48">
        <f>IF(R4="n/a",0,IF('INITIAL DATA'!H59="EXPANDABLE",'AFE DETAILED'!$E$217,IF('INITIAL DATA'!H59="BOTH",'AFE DETAILED'!$E$217,0)))</f>
        <v>0</v>
      </c>
      <c r="S217" s="48"/>
      <c r="T217" s="48">
        <f t="shared" si="80"/>
        <v>0</v>
      </c>
    </row>
    <row r="218" spans="1:20" ht="25.5" x14ac:dyDescent="0.2">
      <c r="B218" s="43">
        <v>5</v>
      </c>
      <c r="C218" s="85">
        <v>11301005</v>
      </c>
      <c r="D218" s="47" t="str">
        <f>+IF(G218="","",VLOOKUP('AFE DETAILED'!C218,'AVERAGE COST'!$B:$D,3,0))</f>
        <v>UNIT</v>
      </c>
      <c r="E218" s="48">
        <f>+IF(C218="",0,VLOOKUP(C218,'AVERAGE COST'!$B$3:$E$995,4))</f>
        <v>0</v>
      </c>
      <c r="F218" s="47" t="s">
        <v>201</v>
      </c>
      <c r="G218" s="43">
        <v>113010</v>
      </c>
      <c r="H218" s="47" t="s">
        <v>198</v>
      </c>
      <c r="I218" s="155"/>
      <c r="J218" s="155"/>
      <c r="K218" s="48">
        <v>0</v>
      </c>
      <c r="L218" s="48">
        <v>0</v>
      </c>
      <c r="M218" s="237">
        <f>+IF(M4="N/a",0,IF(OR(M215&lt;&gt;0,M217&lt;&gt;0),$E$218,0))</f>
        <v>0</v>
      </c>
      <c r="N218" s="237">
        <f t="shared" ref="N218:R218" si="81">+IF(N4="N/a",0,IF(OR(N215&lt;&gt;0,N217&lt;&gt;0),$E$218,0))</f>
        <v>0</v>
      </c>
      <c r="O218" s="237">
        <f t="shared" si="81"/>
        <v>0</v>
      </c>
      <c r="P218" s="237">
        <f t="shared" si="81"/>
        <v>0</v>
      </c>
      <c r="Q218" s="237">
        <f t="shared" si="81"/>
        <v>0</v>
      </c>
      <c r="R218" s="48">
        <f t="shared" si="81"/>
        <v>0</v>
      </c>
      <c r="S218" s="48"/>
      <c r="T218" s="48">
        <f t="shared" si="80"/>
        <v>0</v>
      </c>
    </row>
    <row r="219" spans="1:20" ht="25.5" x14ac:dyDescent="0.2">
      <c r="B219" s="43">
        <v>6</v>
      </c>
      <c r="C219" s="85">
        <v>11301006</v>
      </c>
      <c r="D219" s="47" t="str">
        <f>+IF(G219="","",VLOOKUP('AFE DETAILED'!C219,'AVERAGE COST'!$B:$D,3,0))</f>
        <v>UNIT</v>
      </c>
      <c r="E219" s="48">
        <f>+IF(C219="",0,VLOOKUP(C219,'AVERAGE COST'!$B$3:$E$995,4))</f>
        <v>0</v>
      </c>
      <c r="F219" s="47" t="s">
        <v>202</v>
      </c>
      <c r="G219" s="43">
        <v>113010</v>
      </c>
      <c r="H219" s="47" t="s">
        <v>198</v>
      </c>
      <c r="I219" s="155"/>
      <c r="J219" s="155"/>
      <c r="K219" s="48">
        <v>0</v>
      </c>
      <c r="L219" s="48">
        <v>0</v>
      </c>
      <c r="M219" s="237">
        <f>+IF(M4="N/a",0,IF(OR(M215&lt;&gt;0,M217&lt;&gt;0),$E$219,0))</f>
        <v>0</v>
      </c>
      <c r="N219" s="237">
        <f t="shared" ref="N219:R219" si="82">+IF(N4="N/a",0,IF(OR(N215&lt;&gt;0,N217&lt;&gt;0),$E$219,0))</f>
        <v>0</v>
      </c>
      <c r="O219" s="237">
        <f t="shared" si="82"/>
        <v>0</v>
      </c>
      <c r="P219" s="237">
        <f t="shared" si="82"/>
        <v>0</v>
      </c>
      <c r="Q219" s="237">
        <f t="shared" si="82"/>
        <v>0</v>
      </c>
      <c r="R219" s="48">
        <f t="shared" si="82"/>
        <v>0</v>
      </c>
      <c r="S219" s="48"/>
      <c r="T219" s="48">
        <f t="shared" si="80"/>
        <v>0</v>
      </c>
    </row>
    <row r="220" spans="1:20" ht="25.5" x14ac:dyDescent="0.2">
      <c r="B220" s="43">
        <v>7</v>
      </c>
      <c r="C220" s="85">
        <v>11301007</v>
      </c>
      <c r="D220" s="47" t="str">
        <f>+IF(G220="","",VLOOKUP('AFE DETAILED'!C220,'AVERAGE COST'!$B:$D,3,0))</f>
        <v>GLOBAL</v>
      </c>
      <c r="E220" s="48">
        <f>+IF(C220="",0,VLOOKUP(C220,'AVERAGE COST'!$B$3:$E$995,4))</f>
        <v>0</v>
      </c>
      <c r="F220" s="47" t="s">
        <v>203</v>
      </c>
      <c r="G220" s="43">
        <v>113010</v>
      </c>
      <c r="H220" s="47" t="s">
        <v>198</v>
      </c>
      <c r="I220" s="155"/>
      <c r="J220" s="155"/>
      <c r="K220" s="48">
        <v>0</v>
      </c>
      <c r="L220" s="48">
        <v>0</v>
      </c>
      <c r="M220" s="237">
        <f>+IF(M4="N/A",0,IF(M219=0,0,$E$220))</f>
        <v>0</v>
      </c>
      <c r="N220" s="237">
        <f t="shared" ref="N220:R220" si="83">+IF(N4="N/A",0,IF(N219=0,0,$E$220))</f>
        <v>0</v>
      </c>
      <c r="O220" s="237">
        <f t="shared" si="83"/>
        <v>0</v>
      </c>
      <c r="P220" s="237">
        <f t="shared" si="83"/>
        <v>0</v>
      </c>
      <c r="Q220" s="237">
        <f t="shared" si="83"/>
        <v>0</v>
      </c>
      <c r="R220" s="48">
        <f t="shared" si="83"/>
        <v>0</v>
      </c>
      <c r="S220" s="48"/>
      <c r="T220" s="48">
        <f t="shared" si="80"/>
        <v>0</v>
      </c>
    </row>
    <row r="221" spans="1:20" ht="25.5" x14ac:dyDescent="0.2">
      <c r="B221" s="43">
        <v>8</v>
      </c>
      <c r="C221" s="85">
        <v>11301008</v>
      </c>
      <c r="D221" s="47" t="str">
        <f>+IF(G221="","",VLOOKUP('AFE DETAILED'!C221,'AVERAGE COST'!$B:$D,3,0))</f>
        <v>UNIT</v>
      </c>
      <c r="E221" s="48">
        <f>+IF(C221="",0,VLOOKUP(C221,'AVERAGE COST'!$B$3:$E$995,4))</f>
        <v>0</v>
      </c>
      <c r="F221" s="47" t="s">
        <v>204</v>
      </c>
      <c r="G221" s="43">
        <v>113010</v>
      </c>
      <c r="H221" s="47" t="s">
        <v>198</v>
      </c>
      <c r="I221" s="155"/>
      <c r="J221" s="155"/>
      <c r="K221" s="48">
        <v>0</v>
      </c>
      <c r="L221" s="48">
        <v>0</v>
      </c>
      <c r="M221" s="237">
        <f>+IF(M4="N/a",0,IF(OR(M215&lt;&gt;0,M217&lt;&gt;0),$E$221,0))</f>
        <v>0</v>
      </c>
      <c r="N221" s="237">
        <f t="shared" ref="N221:R221" si="84">+IF(N4="N/a",0,IF(OR(N215&lt;&gt;0,N217&lt;&gt;0),$E$221,0))</f>
        <v>0</v>
      </c>
      <c r="O221" s="237">
        <f t="shared" si="84"/>
        <v>0</v>
      </c>
      <c r="P221" s="237">
        <f t="shared" si="84"/>
        <v>0</v>
      </c>
      <c r="Q221" s="237">
        <f t="shared" si="84"/>
        <v>0</v>
      </c>
      <c r="R221" s="48">
        <f t="shared" si="84"/>
        <v>0</v>
      </c>
      <c r="S221" s="48"/>
      <c r="T221" s="48">
        <f t="shared" si="80"/>
        <v>0</v>
      </c>
    </row>
    <row r="222" spans="1:20" ht="25.5" x14ac:dyDescent="0.2">
      <c r="B222" s="43">
        <v>9</v>
      </c>
      <c r="C222" s="85">
        <v>11301009</v>
      </c>
      <c r="D222" s="47" t="str">
        <f>+IF(G222="","",VLOOKUP('AFE DETAILED'!C222,'AVERAGE COST'!$B:$D,3,0))</f>
        <v>GLOBAL</v>
      </c>
      <c r="E222" s="48">
        <f>+IF(C222="",0,VLOOKUP(C222,'AVERAGE COST'!$B$3:$E$995,4))</f>
        <v>0</v>
      </c>
      <c r="F222" s="47" t="s">
        <v>205</v>
      </c>
      <c r="G222" s="43">
        <v>113010</v>
      </c>
      <c r="H222" s="47" t="s">
        <v>198</v>
      </c>
      <c r="I222" s="155"/>
      <c r="J222" s="155"/>
      <c r="K222" s="48">
        <v>0</v>
      </c>
      <c r="L222" s="48">
        <v>0</v>
      </c>
      <c r="M222" s="237">
        <f>+IF(M4="N/a",0,IF(OR(M215&lt;&gt;0,M217&lt;&gt;0),$E$222,0))</f>
        <v>0</v>
      </c>
      <c r="N222" s="237">
        <f t="shared" ref="N222:R222" si="85">+IF(N4="N/a",0,IF(OR(N215&lt;&gt;0,N217&lt;&gt;0),$E$222,0))</f>
        <v>0</v>
      </c>
      <c r="O222" s="237">
        <f t="shared" si="85"/>
        <v>0</v>
      </c>
      <c r="P222" s="237">
        <f t="shared" si="85"/>
        <v>0</v>
      </c>
      <c r="Q222" s="237">
        <f t="shared" si="85"/>
        <v>0</v>
      </c>
      <c r="R222" s="48">
        <f t="shared" si="85"/>
        <v>0</v>
      </c>
      <c r="S222" s="48"/>
      <c r="T222" s="48">
        <f t="shared" si="80"/>
        <v>0</v>
      </c>
    </row>
    <row r="223" spans="1:20" ht="25.5" x14ac:dyDescent="0.2">
      <c r="B223" s="43">
        <v>10</v>
      </c>
      <c r="C223" s="85">
        <v>11301010</v>
      </c>
      <c r="D223" s="47" t="str">
        <f>+IF(G223="","",VLOOKUP('AFE DETAILED'!C223,'AVERAGE COST'!$B:$D,3,0))</f>
        <v>UNIT</v>
      </c>
      <c r="E223" s="48">
        <f>+IF(C223="",0,VLOOKUP(C223,'AVERAGE COST'!$B$3:$E$995,4))</f>
        <v>0</v>
      </c>
      <c r="F223" s="47" t="s">
        <v>206</v>
      </c>
      <c r="G223" s="43">
        <v>113010</v>
      </c>
      <c r="H223" s="47" t="s">
        <v>198</v>
      </c>
      <c r="I223" s="155"/>
      <c r="J223" s="155"/>
      <c r="K223" s="48">
        <v>0</v>
      </c>
      <c r="L223" s="48">
        <v>0</v>
      </c>
      <c r="M223" s="237">
        <f>+IF(M4="N/a",0,IF(OR(M215&lt;&gt;0,M217&lt;&gt;0),$E$223,0))</f>
        <v>0</v>
      </c>
      <c r="N223" s="237">
        <f t="shared" ref="N223:R223" si="86">+IF(N4="N/a",0,IF(OR(N215&lt;&gt;0,N217&lt;&gt;0),$E$223,0))</f>
        <v>0</v>
      </c>
      <c r="O223" s="237">
        <f t="shared" si="86"/>
        <v>0</v>
      </c>
      <c r="P223" s="237">
        <f t="shared" si="86"/>
        <v>0</v>
      </c>
      <c r="Q223" s="237">
        <f t="shared" si="86"/>
        <v>0</v>
      </c>
      <c r="R223" s="48">
        <f t="shared" si="86"/>
        <v>0</v>
      </c>
      <c r="S223" s="48"/>
      <c r="T223" s="48">
        <f t="shared" si="80"/>
        <v>0</v>
      </c>
    </row>
    <row r="224" spans="1:20" ht="25.5" x14ac:dyDescent="0.2">
      <c r="B224" s="43">
        <v>11</v>
      </c>
      <c r="C224" s="85">
        <v>11301011</v>
      </c>
      <c r="D224" s="47" t="str">
        <f>+IF(G224="","",VLOOKUP('AFE DETAILED'!C224,'AVERAGE COST'!$B:$D,3,0))</f>
        <v>UNIT</v>
      </c>
      <c r="E224" s="48">
        <f>+IF(C224="",0,VLOOKUP(C224,'AVERAGE COST'!$B$3:$E$995,4))</f>
        <v>0</v>
      </c>
      <c r="F224" s="47" t="s">
        <v>207</v>
      </c>
      <c r="G224" s="43">
        <v>113010</v>
      </c>
      <c r="H224" s="47" t="s">
        <v>198</v>
      </c>
      <c r="I224" s="155"/>
      <c r="J224" s="155"/>
      <c r="K224" s="48">
        <v>0</v>
      </c>
      <c r="L224" s="48">
        <v>0</v>
      </c>
      <c r="M224" s="237">
        <f>+IF(M4="N/a",0,IF(OR(M215&lt;&gt;0,M217&lt;&gt;0),$E$224,0))</f>
        <v>0</v>
      </c>
      <c r="N224" s="237">
        <f t="shared" ref="N224:R224" si="87">+IF(N4="N/a",0,IF(OR(N215&lt;&gt;0,N217&lt;&gt;0),$E$224,0))</f>
        <v>0</v>
      </c>
      <c r="O224" s="237">
        <f t="shared" si="87"/>
        <v>0</v>
      </c>
      <c r="P224" s="237">
        <f t="shared" si="87"/>
        <v>0</v>
      </c>
      <c r="Q224" s="237">
        <f t="shared" si="87"/>
        <v>0</v>
      </c>
      <c r="R224" s="48">
        <f t="shared" si="87"/>
        <v>0</v>
      </c>
      <c r="S224" s="48"/>
      <c r="T224" s="48">
        <f t="shared" si="80"/>
        <v>0</v>
      </c>
    </row>
    <row r="225" spans="1:20" ht="25.5" x14ac:dyDescent="0.2">
      <c r="B225" s="43">
        <v>12</v>
      </c>
      <c r="C225" s="155"/>
      <c r="D225" s="265"/>
      <c r="E225" s="266"/>
      <c r="F225" s="265"/>
      <c r="G225" s="43">
        <v>113010</v>
      </c>
      <c r="H225" s="47" t="s">
        <v>198</v>
      </c>
      <c r="I225" s="155"/>
      <c r="J225" s="155"/>
      <c r="K225" s="269">
        <v>0</v>
      </c>
      <c r="L225" s="269">
        <v>0</v>
      </c>
      <c r="M225" s="267"/>
      <c r="N225" s="267"/>
      <c r="O225" s="267"/>
      <c r="P225" s="267"/>
      <c r="Q225" s="267"/>
      <c r="R225" s="266"/>
      <c r="S225" s="48"/>
      <c r="T225" s="48">
        <f t="shared" si="80"/>
        <v>0</v>
      </c>
    </row>
    <row r="226" spans="1:20" ht="25.5" x14ac:dyDescent="0.2">
      <c r="B226" s="43">
        <v>13</v>
      </c>
      <c r="C226" s="155"/>
      <c r="D226" s="265"/>
      <c r="E226" s="266"/>
      <c r="F226" s="265"/>
      <c r="G226" s="43">
        <v>113010</v>
      </c>
      <c r="H226" s="47" t="s">
        <v>198</v>
      </c>
      <c r="I226" s="155"/>
      <c r="J226" s="155"/>
      <c r="K226" s="269">
        <v>0</v>
      </c>
      <c r="L226" s="269">
        <v>0</v>
      </c>
      <c r="M226" s="267"/>
      <c r="N226" s="267"/>
      <c r="O226" s="267"/>
      <c r="P226" s="267"/>
      <c r="Q226" s="267"/>
      <c r="R226" s="266"/>
      <c r="S226" s="48"/>
      <c r="T226" s="48">
        <f t="shared" si="80"/>
        <v>0</v>
      </c>
    </row>
    <row r="227" spans="1:20" ht="25.5" x14ac:dyDescent="0.2">
      <c r="B227" s="43">
        <v>14</v>
      </c>
      <c r="C227" s="155"/>
      <c r="D227" s="265"/>
      <c r="E227" s="266"/>
      <c r="F227" s="265"/>
      <c r="G227" s="43">
        <v>113010</v>
      </c>
      <c r="H227" s="47" t="s">
        <v>198</v>
      </c>
      <c r="I227" s="155"/>
      <c r="J227" s="155"/>
      <c r="K227" s="269">
        <v>0</v>
      </c>
      <c r="L227" s="269">
        <v>0</v>
      </c>
      <c r="M227" s="267"/>
      <c r="N227" s="267"/>
      <c r="O227" s="267"/>
      <c r="P227" s="267"/>
      <c r="Q227" s="267"/>
      <c r="R227" s="266"/>
      <c r="S227" s="48"/>
      <c r="T227" s="48">
        <f t="shared" si="80"/>
        <v>0</v>
      </c>
    </row>
    <row r="228" spans="1:20" ht="25.5" x14ac:dyDescent="0.2">
      <c r="B228" s="43">
        <v>15</v>
      </c>
      <c r="C228" s="155"/>
      <c r="D228" s="265"/>
      <c r="E228" s="266"/>
      <c r="F228" s="265"/>
      <c r="G228" s="43">
        <v>113010</v>
      </c>
      <c r="H228" s="47" t="s">
        <v>198</v>
      </c>
      <c r="I228" s="155"/>
      <c r="J228" s="155"/>
      <c r="K228" s="269">
        <v>0</v>
      </c>
      <c r="L228" s="269">
        <v>0</v>
      </c>
      <c r="M228" s="267"/>
      <c r="N228" s="267"/>
      <c r="O228" s="267"/>
      <c r="P228" s="267"/>
      <c r="Q228" s="267"/>
      <c r="R228" s="266"/>
      <c r="S228" s="48"/>
      <c r="T228" s="48">
        <f t="shared" si="80"/>
        <v>0</v>
      </c>
    </row>
    <row r="229" spans="1:20" s="12" customFormat="1" x14ac:dyDescent="0.2">
      <c r="A229" s="28"/>
      <c r="B229" s="66" t="s">
        <v>32</v>
      </c>
      <c r="C229" s="67"/>
      <c r="D229" s="68"/>
      <c r="E229" s="92" t="s">
        <v>210</v>
      </c>
      <c r="F229" s="106"/>
      <c r="G229" s="67"/>
      <c r="H229" s="68"/>
      <c r="I229" s="69"/>
      <c r="J229" s="69"/>
      <c r="K229" s="49">
        <f>SUM(K214:K228)</f>
        <v>0</v>
      </c>
      <c r="L229" s="49">
        <f t="shared" ref="L229:T229" si="88">SUM(L214:L228)</f>
        <v>0</v>
      </c>
      <c r="M229" s="238">
        <f t="shared" si="88"/>
        <v>0</v>
      </c>
      <c r="N229" s="238">
        <f t="shared" si="88"/>
        <v>0</v>
      </c>
      <c r="O229" s="238">
        <f t="shared" si="88"/>
        <v>0</v>
      </c>
      <c r="P229" s="238">
        <f t="shared" si="88"/>
        <v>0</v>
      </c>
      <c r="Q229" s="238">
        <f t="shared" si="88"/>
        <v>0</v>
      </c>
      <c r="R229" s="49">
        <f t="shared" si="88"/>
        <v>0</v>
      </c>
      <c r="S229" s="49"/>
      <c r="T229" s="49">
        <f t="shared" si="88"/>
        <v>0</v>
      </c>
    </row>
    <row r="230" spans="1:20" s="12" customFormat="1" x14ac:dyDescent="0.2">
      <c r="A230" s="28"/>
      <c r="B230" s="66" t="s">
        <v>208</v>
      </c>
      <c r="C230" s="67"/>
      <c r="D230" s="68"/>
      <c r="E230" s="92" t="s">
        <v>211</v>
      </c>
      <c r="F230" s="106"/>
      <c r="G230" s="67"/>
      <c r="H230" s="68"/>
      <c r="I230" s="69"/>
      <c r="J230" s="69"/>
      <c r="K230" s="70"/>
      <c r="L230" s="70"/>
      <c r="M230" s="242"/>
      <c r="N230" s="242"/>
      <c r="O230" s="242"/>
      <c r="P230" s="242"/>
      <c r="Q230" s="242"/>
      <c r="R230" s="70"/>
      <c r="S230" s="70"/>
      <c r="T230" s="71"/>
    </row>
    <row r="231" spans="1:20" x14ac:dyDescent="0.2">
      <c r="B231" s="43">
        <v>1</v>
      </c>
      <c r="C231" s="85">
        <v>11301101</v>
      </c>
      <c r="D231" s="47" t="str">
        <f>+IF(G231="","",VLOOKUP('AFE DETAILED'!C231,'AVERAGE COST'!$B:$D,3,0))</f>
        <v>GLOBAL</v>
      </c>
      <c r="E231" s="48">
        <f>+IF(C231="",0,VLOOKUP(C231,'AVERAGE COST'!$B$3:$E$995,4))</f>
        <v>0</v>
      </c>
      <c r="F231" s="47" t="s">
        <v>203</v>
      </c>
      <c r="G231" s="43">
        <v>113011</v>
      </c>
      <c r="H231" s="47" t="s">
        <v>211</v>
      </c>
      <c r="I231" s="155"/>
      <c r="J231" s="155"/>
      <c r="K231" s="48">
        <v>0</v>
      </c>
      <c r="L231" s="48">
        <v>0</v>
      </c>
      <c r="M231" s="237">
        <f>+IF(M4="n/a",0,IF(M232=0,0,$E$231))</f>
        <v>0</v>
      </c>
      <c r="N231" s="237">
        <f t="shared" ref="N231:Q231" si="89">+IF(N4="n/a",0,IF(N232=0,0,$E$231))</f>
        <v>0</v>
      </c>
      <c r="O231" s="237">
        <f t="shared" si="89"/>
        <v>0</v>
      </c>
      <c r="P231" s="237">
        <f t="shared" si="89"/>
        <v>0</v>
      </c>
      <c r="Q231" s="237">
        <f t="shared" si="89"/>
        <v>0</v>
      </c>
      <c r="R231" s="48">
        <v>0</v>
      </c>
      <c r="S231" s="48"/>
      <c r="T231" s="48">
        <f>SUM(K231:R231)</f>
        <v>0</v>
      </c>
    </row>
    <row r="232" spans="1:20" x14ac:dyDescent="0.2">
      <c r="B232" s="43">
        <v>2</v>
      </c>
      <c r="C232" s="85">
        <v>11301102</v>
      </c>
      <c r="D232" s="47" t="str">
        <f>+IF(G232="","",VLOOKUP('AFE DETAILED'!C232,'AVERAGE COST'!$B:$D,3,0))</f>
        <v>UNIT</v>
      </c>
      <c r="E232" s="48">
        <f>+IF(C232="",0,VLOOKUP(C232,'AVERAGE COST'!$B$3:$E$995,4))</f>
        <v>0</v>
      </c>
      <c r="F232" s="47" t="s">
        <v>212</v>
      </c>
      <c r="G232" s="43">
        <v>113011</v>
      </c>
      <c r="H232" s="47" t="s">
        <v>211</v>
      </c>
      <c r="I232" s="155"/>
      <c r="J232" s="155"/>
      <c r="K232" s="48">
        <v>0</v>
      </c>
      <c r="L232" s="48">
        <v>0</v>
      </c>
      <c r="M232" s="237">
        <f>+IF(M4="n/a",0,IF('INITIAL DATA'!C60="YES",$E$232*'INITIAL DATA'!C61,0))</f>
        <v>0</v>
      </c>
      <c r="N232" s="237">
        <f>+IF(N4="n/a",0,IF('INITIAL DATA'!D60="YES",$E$232*'INITIAL DATA'!D61,0))</f>
        <v>0</v>
      </c>
      <c r="O232" s="237">
        <f>+IF(O4="n/a",0,IF('INITIAL DATA'!E60="YES",$E$232*'INITIAL DATA'!E61,0))</f>
        <v>0</v>
      </c>
      <c r="P232" s="237">
        <f>+IF(P4="n/a",0,IF('INITIAL DATA'!F60="YES",$E$232*'INITIAL DATA'!F61,0))</f>
        <v>0</v>
      </c>
      <c r="Q232" s="237">
        <f>+IF(Q4="n/a",0,IF('INITIAL DATA'!G60="YES",$E$232*'INITIAL DATA'!G61,0))</f>
        <v>0</v>
      </c>
      <c r="R232" s="48">
        <v>0</v>
      </c>
      <c r="S232" s="48"/>
      <c r="T232" s="48">
        <f t="shared" ref="T232:T233" si="90">SUM(K232:R232)</f>
        <v>0</v>
      </c>
    </row>
    <row r="233" spans="1:20" x14ac:dyDescent="0.2">
      <c r="B233" s="43">
        <v>3</v>
      </c>
      <c r="C233" s="85">
        <v>11301103</v>
      </c>
      <c r="D233" s="47" t="str">
        <f>+IF(G233="","",VLOOKUP('AFE DETAILED'!C233,'AVERAGE COST'!$B:$D,3,0))</f>
        <v>GLOBAL</v>
      </c>
      <c r="E233" s="48">
        <f>+IF(C233="",0,VLOOKUP(C233,'AVERAGE COST'!$B$3:$E$995,4))</f>
        <v>0</v>
      </c>
      <c r="F233" s="47" t="s">
        <v>213</v>
      </c>
      <c r="G233" s="43">
        <v>113011</v>
      </c>
      <c r="H233" s="47" t="s">
        <v>211</v>
      </c>
      <c r="I233" s="155"/>
      <c r="J233" s="155"/>
      <c r="K233" s="48">
        <v>0</v>
      </c>
      <c r="L233" s="48">
        <v>0</v>
      </c>
      <c r="M233" s="237">
        <f>+IF(M4="n/a",0,IF(M232=0,0,$E$233))</f>
        <v>0</v>
      </c>
      <c r="N233" s="237">
        <f t="shared" ref="N233:Q233" si="91">+IF(N4="n/a",0,IF(N232=0,0,$E$233))</f>
        <v>0</v>
      </c>
      <c r="O233" s="237">
        <f t="shared" si="91"/>
        <v>0</v>
      </c>
      <c r="P233" s="237">
        <f t="shared" si="91"/>
        <v>0</v>
      </c>
      <c r="Q233" s="237">
        <f t="shared" si="91"/>
        <v>0</v>
      </c>
      <c r="R233" s="48">
        <v>0</v>
      </c>
      <c r="S233" s="48"/>
      <c r="T233" s="48">
        <f t="shared" si="90"/>
        <v>0</v>
      </c>
    </row>
    <row r="234" spans="1:20" s="12" customFormat="1" x14ac:dyDescent="0.2">
      <c r="A234" s="28"/>
      <c r="B234" s="66" t="s">
        <v>32</v>
      </c>
      <c r="C234" s="67"/>
      <c r="D234" s="68"/>
      <c r="E234" s="92" t="s">
        <v>225</v>
      </c>
      <c r="F234" s="106"/>
      <c r="G234" s="67"/>
      <c r="H234" s="68"/>
      <c r="I234" s="69"/>
      <c r="J234" s="69"/>
      <c r="K234" s="49">
        <f>SUM(K231:K233)</f>
        <v>0</v>
      </c>
      <c r="L234" s="49">
        <f t="shared" ref="L234:T234" si="92">SUM(L231:L233)</f>
        <v>0</v>
      </c>
      <c r="M234" s="238">
        <f t="shared" si="92"/>
        <v>0</v>
      </c>
      <c r="N234" s="238">
        <f t="shared" si="92"/>
        <v>0</v>
      </c>
      <c r="O234" s="238">
        <f t="shared" si="92"/>
        <v>0</v>
      </c>
      <c r="P234" s="238">
        <f t="shared" si="92"/>
        <v>0</v>
      </c>
      <c r="Q234" s="238">
        <f t="shared" si="92"/>
        <v>0</v>
      </c>
      <c r="R234" s="49">
        <f t="shared" si="92"/>
        <v>0</v>
      </c>
      <c r="S234" s="49"/>
      <c r="T234" s="49">
        <f t="shared" si="92"/>
        <v>0</v>
      </c>
    </row>
    <row r="235" spans="1:20" s="12" customFormat="1" x14ac:dyDescent="0.2">
      <c r="A235" s="28"/>
      <c r="B235" s="66" t="s">
        <v>214</v>
      </c>
      <c r="C235" s="67"/>
      <c r="D235" s="68"/>
      <c r="E235" s="92" t="s">
        <v>224</v>
      </c>
      <c r="F235" s="106"/>
      <c r="G235" s="67"/>
      <c r="H235" s="68"/>
      <c r="I235" s="69"/>
      <c r="J235" s="69"/>
      <c r="K235" s="70"/>
      <c r="L235" s="70"/>
      <c r="M235" s="242"/>
      <c r="N235" s="242"/>
      <c r="O235" s="242"/>
      <c r="P235" s="242"/>
      <c r="Q235" s="242"/>
      <c r="R235" s="70"/>
      <c r="S235" s="70"/>
      <c r="T235" s="71"/>
    </row>
    <row r="236" spans="1:20" ht="25.5" x14ac:dyDescent="0.2">
      <c r="B236" s="43">
        <v>1</v>
      </c>
      <c r="C236" s="85">
        <v>11301201</v>
      </c>
      <c r="D236" s="47" t="str">
        <f>+IF(G236="","",VLOOKUP('AFE DETAILED'!C236,'AVERAGE COST'!$B:$D,3,0))</f>
        <v>DAY</v>
      </c>
      <c r="E236" s="48">
        <f>+IF(C236="",0,VLOOKUP(C236,'AVERAGE COST'!$B$3:$E$995,4))</f>
        <v>0</v>
      </c>
      <c r="F236" s="47" t="s">
        <v>149</v>
      </c>
      <c r="G236" s="43">
        <v>113012</v>
      </c>
      <c r="H236" s="47" t="s">
        <v>224</v>
      </c>
      <c r="I236" s="155"/>
      <c r="J236" s="155"/>
      <c r="K236" s="48">
        <v>0</v>
      </c>
      <c r="L236" s="48">
        <v>0</v>
      </c>
      <c r="M236" s="237">
        <v>0</v>
      </c>
      <c r="N236" s="237">
        <v>0</v>
      </c>
      <c r="O236" s="237">
        <v>0</v>
      </c>
      <c r="P236" s="237">
        <v>0</v>
      </c>
      <c r="Q236" s="237">
        <v>0</v>
      </c>
      <c r="R236" s="48">
        <f>+IF(R4="n/a",0,IF(R237=0,0,$E$236*R9))</f>
        <v>0</v>
      </c>
      <c r="S236" s="48"/>
      <c r="T236" s="48">
        <f>SUM(K236:R236)</f>
        <v>0</v>
      </c>
    </row>
    <row r="237" spans="1:20" ht="25.5" x14ac:dyDescent="0.2">
      <c r="B237" s="43">
        <v>2</v>
      </c>
      <c r="C237" s="85">
        <v>11301202</v>
      </c>
      <c r="D237" s="47" t="str">
        <f>+IF(G237="","",VLOOKUP('AFE DETAILED'!C237,'AVERAGE COST'!$B:$D,3,0))</f>
        <v>GLOBAL</v>
      </c>
      <c r="E237" s="48">
        <f>+IF(C237="",0,VLOOKUP(C237,'AVERAGE COST'!$B$3:$E$995,4))</f>
        <v>0</v>
      </c>
      <c r="F237" s="47" t="s">
        <v>215</v>
      </c>
      <c r="G237" s="43">
        <v>113012</v>
      </c>
      <c r="H237" s="47" t="s">
        <v>224</v>
      </c>
      <c r="I237" s="155"/>
      <c r="J237" s="155"/>
      <c r="K237" s="48">
        <v>0</v>
      </c>
      <c r="L237" s="48">
        <v>0</v>
      </c>
      <c r="M237" s="237">
        <v>0</v>
      </c>
      <c r="N237" s="237">
        <v>0</v>
      </c>
      <c r="O237" s="237">
        <v>0</v>
      </c>
      <c r="P237" s="237">
        <v>0</v>
      </c>
      <c r="Q237" s="237">
        <v>0</v>
      </c>
      <c r="R237" s="48">
        <f>+IF(R4="n/a",0,IF(R238=0,0,$E$237))</f>
        <v>0</v>
      </c>
      <c r="S237" s="48"/>
      <c r="T237" s="48">
        <f t="shared" ref="T237:T249" si="93">SUM(K237:R237)</f>
        <v>0</v>
      </c>
    </row>
    <row r="238" spans="1:20" ht="25.5" x14ac:dyDescent="0.2">
      <c r="B238" s="43">
        <v>3</v>
      </c>
      <c r="C238" s="85">
        <v>11301203</v>
      </c>
      <c r="D238" s="47" t="str">
        <f>+IF(G238="","",VLOOKUP('AFE DETAILED'!C238,'AVERAGE COST'!$B:$D,3,0))</f>
        <v>GLOBAL</v>
      </c>
      <c r="E238" s="48">
        <f>+IF(C238="",0,VLOOKUP(C238,'AVERAGE COST'!$B$3:$E$995,4))</f>
        <v>0</v>
      </c>
      <c r="F238" s="47" t="s">
        <v>216</v>
      </c>
      <c r="G238" s="43">
        <v>113012</v>
      </c>
      <c r="H238" s="47" t="s">
        <v>224</v>
      </c>
      <c r="I238" s="155"/>
      <c r="J238" s="155"/>
      <c r="K238" s="48">
        <v>0</v>
      </c>
      <c r="L238" s="48">
        <v>0</v>
      </c>
      <c r="M238" s="237">
        <v>0</v>
      </c>
      <c r="N238" s="237">
        <v>0</v>
      </c>
      <c r="O238" s="237">
        <v>0</v>
      </c>
      <c r="P238" s="237">
        <v>0</v>
      </c>
      <c r="Q238" s="237">
        <v>0</v>
      </c>
      <c r="R238" s="48">
        <f>+IF(R4="n/a",0,$E$238)</f>
        <v>0</v>
      </c>
      <c r="S238" s="48"/>
      <c r="T238" s="48">
        <f t="shared" si="93"/>
        <v>0</v>
      </c>
    </row>
    <row r="239" spans="1:20" ht="25.5" x14ac:dyDescent="0.2">
      <c r="B239" s="43">
        <v>4</v>
      </c>
      <c r="C239" s="85">
        <v>11301204</v>
      </c>
      <c r="D239" s="47" t="str">
        <f>+IF(G239="","",VLOOKUP('AFE DETAILED'!C239,'AVERAGE COST'!$B:$D,3,0))</f>
        <v>UNIT</v>
      </c>
      <c r="E239" s="48">
        <f>+IF(C239="",0,VLOOKUP(C239,'AVERAGE COST'!$B$3:$E$995,4))</f>
        <v>0</v>
      </c>
      <c r="F239" s="47" t="s">
        <v>96</v>
      </c>
      <c r="G239" s="43">
        <v>113012</v>
      </c>
      <c r="H239" s="47" t="s">
        <v>224</v>
      </c>
      <c r="I239" s="155"/>
      <c r="J239" s="155"/>
      <c r="K239" s="48">
        <v>0</v>
      </c>
      <c r="L239" s="48">
        <v>0</v>
      </c>
      <c r="M239" s="237">
        <v>0</v>
      </c>
      <c r="N239" s="237">
        <v>0</v>
      </c>
      <c r="O239" s="237">
        <v>0</v>
      </c>
      <c r="P239" s="237">
        <v>0</v>
      </c>
      <c r="Q239" s="237">
        <v>0</v>
      </c>
      <c r="R239" s="48">
        <v>0</v>
      </c>
      <c r="S239" s="48"/>
      <c r="T239" s="48">
        <f t="shared" si="93"/>
        <v>0</v>
      </c>
    </row>
    <row r="240" spans="1:20" ht="25.5" x14ac:dyDescent="0.2">
      <c r="B240" s="43">
        <v>5</v>
      </c>
      <c r="C240" s="85">
        <v>11301205</v>
      </c>
      <c r="D240" s="47" t="str">
        <f>+IF(G240="","",VLOOKUP('AFE DETAILED'!C240,'AVERAGE COST'!$B:$D,3,0))</f>
        <v>UNIT</v>
      </c>
      <c r="E240" s="48">
        <f>+IF(C240="",0,VLOOKUP(C240,'AVERAGE COST'!$B$3:$E$995,4))</f>
        <v>0</v>
      </c>
      <c r="F240" s="47" t="s">
        <v>217</v>
      </c>
      <c r="G240" s="43">
        <v>113012</v>
      </c>
      <c r="H240" s="47" t="s">
        <v>224</v>
      </c>
      <c r="I240" s="155"/>
      <c r="J240" s="155"/>
      <c r="K240" s="48">
        <v>0</v>
      </c>
      <c r="L240" s="48">
        <v>0</v>
      </c>
      <c r="M240" s="237">
        <v>0</v>
      </c>
      <c r="N240" s="237">
        <v>0</v>
      </c>
      <c r="O240" s="237">
        <v>0</v>
      </c>
      <c r="P240" s="237">
        <v>0</v>
      </c>
      <c r="Q240" s="237">
        <v>0</v>
      </c>
      <c r="R240" s="48">
        <f>+IF(R4="n/a",0,IF('INITIAL DATA'!H62="HYDRAULIC",'AFE DETAILED'!$E$240*ROUNDUP('AFE DETAILED'!R11/1000,0),0))</f>
        <v>0</v>
      </c>
      <c r="S240" s="48"/>
      <c r="T240" s="48">
        <f t="shared" si="93"/>
        <v>0</v>
      </c>
    </row>
    <row r="241" spans="1:20" ht="25.5" x14ac:dyDescent="0.2">
      <c r="B241" s="43">
        <v>6</v>
      </c>
      <c r="C241" s="85">
        <v>11301206</v>
      </c>
      <c r="D241" s="47" t="str">
        <f>+IF(G241="","",VLOOKUP('AFE DETAILED'!C241,'AVERAGE COST'!$B:$D,3,0))</f>
        <v>UNIT</v>
      </c>
      <c r="E241" s="48">
        <f>+IF(C241="",0,VLOOKUP(C241,'AVERAGE COST'!$B$3:$E$995,4))</f>
        <v>0</v>
      </c>
      <c r="F241" s="47" t="s">
        <v>218</v>
      </c>
      <c r="G241" s="43">
        <v>113012</v>
      </c>
      <c r="H241" s="47" t="s">
        <v>224</v>
      </c>
      <c r="I241" s="155"/>
      <c r="J241" s="155"/>
      <c r="K241" s="48">
        <v>0</v>
      </c>
      <c r="L241" s="48">
        <v>0</v>
      </c>
      <c r="M241" s="237">
        <v>0</v>
      </c>
      <c r="N241" s="237">
        <v>0</v>
      </c>
      <c r="O241" s="237">
        <v>0</v>
      </c>
      <c r="P241" s="237">
        <v>0</v>
      </c>
      <c r="Q241" s="237">
        <v>0</v>
      </c>
      <c r="R241" s="48">
        <f>+IF(R4="n/a",0,IF('INITIAL DATA'!H62="MECHANICAL",'AFE DETAILED'!$E$241*ROUNDUP('AFE DETAILED'!R11/1000,0),0))</f>
        <v>0</v>
      </c>
      <c r="S241" s="48"/>
      <c r="T241" s="48">
        <f t="shared" si="93"/>
        <v>0</v>
      </c>
    </row>
    <row r="242" spans="1:20" ht="25.5" x14ac:dyDescent="0.2">
      <c r="B242" s="43">
        <v>7</v>
      </c>
      <c r="C242" s="85">
        <v>11301207</v>
      </c>
      <c r="D242" s="47" t="str">
        <f>+IF(G242="","",VLOOKUP('AFE DETAILED'!C242,'AVERAGE COST'!$B:$D,3,0))</f>
        <v>GLOBAL</v>
      </c>
      <c r="E242" s="48">
        <f>+IF(C242="",0,VLOOKUP(C242,'AVERAGE COST'!$B$3:$E$995,4))</f>
        <v>0</v>
      </c>
      <c r="F242" s="47" t="s">
        <v>203</v>
      </c>
      <c r="G242" s="43">
        <v>113012</v>
      </c>
      <c r="H242" s="47" t="s">
        <v>224</v>
      </c>
      <c r="I242" s="155"/>
      <c r="J242" s="155"/>
      <c r="K242" s="48">
        <v>0</v>
      </c>
      <c r="L242" s="48">
        <v>0</v>
      </c>
      <c r="M242" s="237">
        <v>0</v>
      </c>
      <c r="N242" s="237">
        <v>0</v>
      </c>
      <c r="O242" s="237">
        <v>0</v>
      </c>
      <c r="P242" s="237">
        <v>0</v>
      </c>
      <c r="Q242" s="237">
        <v>0</v>
      </c>
      <c r="R242" s="48">
        <f>+IF(R4="n/a",0,IF(OR(R240&lt;&gt;0,R241&lt;&gt;0),$E$242,0))</f>
        <v>0</v>
      </c>
      <c r="S242" s="48"/>
      <c r="T242" s="48">
        <f t="shared" si="93"/>
        <v>0</v>
      </c>
    </row>
    <row r="243" spans="1:20" ht="25.5" x14ac:dyDescent="0.2">
      <c r="B243" s="43">
        <v>8</v>
      </c>
      <c r="C243" s="85">
        <v>11301208</v>
      </c>
      <c r="D243" s="47" t="str">
        <f>+IF(G243="","",VLOOKUP('AFE DETAILED'!C243,'AVERAGE COST'!$B:$D,3,0))</f>
        <v>UNIT</v>
      </c>
      <c r="E243" s="48">
        <f>+IF(C243="",0,VLOOKUP(C243,'AVERAGE COST'!$B$3:$E$995,4))</f>
        <v>0</v>
      </c>
      <c r="F243" s="47" t="s">
        <v>219</v>
      </c>
      <c r="G243" s="43">
        <v>113012</v>
      </c>
      <c r="H243" s="47" t="s">
        <v>224</v>
      </c>
      <c r="I243" s="155"/>
      <c r="J243" s="155"/>
      <c r="K243" s="48">
        <v>0</v>
      </c>
      <c r="L243" s="48">
        <v>0</v>
      </c>
      <c r="M243" s="237">
        <v>0</v>
      </c>
      <c r="N243" s="237">
        <v>0</v>
      </c>
      <c r="O243" s="237">
        <v>0</v>
      </c>
      <c r="P243" s="237">
        <v>0</v>
      </c>
      <c r="Q243" s="237">
        <v>0</v>
      </c>
      <c r="R243" s="48">
        <f>+IF(R4="n/a",0,IF(OR(R240&lt;&gt;0,R241&lt;&gt;0),$E$243*ROUNDUP(R11/1000,0),0))</f>
        <v>0</v>
      </c>
      <c r="S243" s="48"/>
      <c r="T243" s="48">
        <f t="shared" si="93"/>
        <v>0</v>
      </c>
    </row>
    <row r="244" spans="1:20" ht="25.5" x14ac:dyDescent="0.2">
      <c r="B244" s="43">
        <v>9</v>
      </c>
      <c r="C244" s="85">
        <v>11301209</v>
      </c>
      <c r="D244" s="47" t="str">
        <f>+IF(G244="","",VLOOKUP('AFE DETAILED'!C244,'AVERAGE COST'!$B:$D,3,0))</f>
        <v>FT</v>
      </c>
      <c r="E244" s="48">
        <f>+IF(C244="",0,VLOOKUP(C244,'AVERAGE COST'!$B$3:$E$995,4))</f>
        <v>0</v>
      </c>
      <c r="F244" s="47" t="s">
        <v>220</v>
      </c>
      <c r="G244" s="43">
        <v>113012</v>
      </c>
      <c r="H244" s="47" t="s">
        <v>224</v>
      </c>
      <c r="I244" s="155"/>
      <c r="J244" s="155"/>
      <c r="K244" s="48">
        <v>0</v>
      </c>
      <c r="L244" s="48">
        <v>0</v>
      </c>
      <c r="M244" s="237">
        <v>0</v>
      </c>
      <c r="N244" s="237">
        <v>0</v>
      </c>
      <c r="O244" s="237">
        <v>0</v>
      </c>
      <c r="P244" s="237">
        <v>0</v>
      </c>
      <c r="Q244" s="237">
        <v>0</v>
      </c>
      <c r="R244" s="48">
        <f>+IF(R4="n/a",0,IF('INITIAL DATA'!$H$63="YES",'INITIAL DATA'!$H$64*'AFE DETAILED'!$E$244,0))</f>
        <v>0</v>
      </c>
      <c r="S244" s="48"/>
      <c r="T244" s="48">
        <f t="shared" si="93"/>
        <v>0</v>
      </c>
    </row>
    <row r="245" spans="1:20" ht="25.5" x14ac:dyDescent="0.2">
      <c r="B245" s="43">
        <v>10</v>
      </c>
      <c r="C245" s="85">
        <v>11301210</v>
      </c>
      <c r="D245" s="47" t="str">
        <f>+IF(G245="","",VLOOKUP('AFE DETAILED'!C245,'AVERAGE COST'!$B:$D,3,0))</f>
        <v>UNIT</v>
      </c>
      <c r="E245" s="48">
        <f>+IF(C245="",0,VLOOKUP(C245,'AVERAGE COST'!$B$3:$E$995,4))</f>
        <v>0</v>
      </c>
      <c r="F245" s="47" t="s">
        <v>221</v>
      </c>
      <c r="G245" s="43">
        <v>113012</v>
      </c>
      <c r="H245" s="47" t="s">
        <v>224</v>
      </c>
      <c r="I245" s="155"/>
      <c r="J245" s="155"/>
      <c r="K245" s="48">
        <v>0</v>
      </c>
      <c r="L245" s="48">
        <v>0</v>
      </c>
      <c r="M245" s="237">
        <v>0</v>
      </c>
      <c r="N245" s="237">
        <v>0</v>
      </c>
      <c r="O245" s="237">
        <v>0</v>
      </c>
      <c r="P245" s="237">
        <v>0</v>
      </c>
      <c r="Q245" s="237">
        <v>0</v>
      </c>
      <c r="R245" s="48">
        <f>+IF(R4="n/a",0,IF(OR(R240&lt;&gt;0,R241&lt;&gt;0),$E$245,0))</f>
        <v>0</v>
      </c>
      <c r="S245" s="48"/>
      <c r="T245" s="48">
        <f t="shared" si="93"/>
        <v>0</v>
      </c>
    </row>
    <row r="246" spans="1:20" ht="25.5" x14ac:dyDescent="0.2">
      <c r="B246" s="43">
        <v>11</v>
      </c>
      <c r="C246" s="85">
        <v>11301211</v>
      </c>
      <c r="D246" s="47" t="str">
        <f>+IF(G246="","",VLOOKUP('AFE DETAILED'!C246,'AVERAGE COST'!$B:$D,3,0))</f>
        <v>UNIT</v>
      </c>
      <c r="E246" s="48">
        <f>+IF(C246="",0,VLOOKUP(C246,'AVERAGE COST'!$B$3:$E$995,4))</f>
        <v>0</v>
      </c>
      <c r="F246" s="47" t="s">
        <v>222</v>
      </c>
      <c r="G246" s="43">
        <v>113012</v>
      </c>
      <c r="H246" s="47" t="s">
        <v>224</v>
      </c>
      <c r="I246" s="155"/>
      <c r="J246" s="155"/>
      <c r="K246" s="48">
        <v>0</v>
      </c>
      <c r="L246" s="48">
        <v>0</v>
      </c>
      <c r="M246" s="237">
        <v>0</v>
      </c>
      <c r="N246" s="237">
        <v>0</v>
      </c>
      <c r="O246" s="237">
        <v>0</v>
      </c>
      <c r="P246" s="237">
        <v>0</v>
      </c>
      <c r="Q246" s="237">
        <v>0</v>
      </c>
      <c r="R246" s="48">
        <f>+IF(R4="n/a",0,IF(OR(R240&lt;&gt;0,R241&lt;&gt;0),$E$246,0))</f>
        <v>0</v>
      </c>
      <c r="S246" s="48"/>
      <c r="T246" s="48">
        <f t="shared" si="93"/>
        <v>0</v>
      </c>
    </row>
    <row r="247" spans="1:20" ht="25.5" x14ac:dyDescent="0.2">
      <c r="B247" s="43">
        <v>12</v>
      </c>
      <c r="C247" s="85">
        <v>11301212</v>
      </c>
      <c r="D247" s="47" t="str">
        <f>+IF(G247="","",VLOOKUP('AFE DETAILED'!C247,'AVERAGE COST'!$B:$D,3,0))</f>
        <v>DAY</v>
      </c>
      <c r="E247" s="48">
        <f>+IF(C247="",0,VLOOKUP(C247,'AVERAGE COST'!$B$3:$E$995,4))</f>
        <v>0</v>
      </c>
      <c r="F247" s="47" t="s">
        <v>223</v>
      </c>
      <c r="G247" s="43">
        <v>113012</v>
      </c>
      <c r="H247" s="47" t="s">
        <v>224</v>
      </c>
      <c r="I247" s="155"/>
      <c r="J247" s="155"/>
      <c r="K247" s="48">
        <v>0</v>
      </c>
      <c r="L247" s="48">
        <v>0</v>
      </c>
      <c r="M247" s="237">
        <v>0</v>
      </c>
      <c r="N247" s="237">
        <v>0</v>
      </c>
      <c r="O247" s="237">
        <v>0</v>
      </c>
      <c r="P247" s="237">
        <v>0</v>
      </c>
      <c r="Q247" s="237">
        <v>0</v>
      </c>
      <c r="R247" s="48">
        <f>+IF(R4="n/a",0,IF(R244=0,0,$E$247*R9))</f>
        <v>0</v>
      </c>
      <c r="S247" s="48"/>
      <c r="T247" s="48">
        <f t="shared" si="93"/>
        <v>0</v>
      </c>
    </row>
    <row r="248" spans="1:20" ht="25.5" x14ac:dyDescent="0.2">
      <c r="B248" s="43">
        <v>13</v>
      </c>
      <c r="C248" s="155"/>
      <c r="D248" s="265"/>
      <c r="E248" s="266"/>
      <c r="F248" s="265"/>
      <c r="G248" s="43">
        <v>113012</v>
      </c>
      <c r="H248" s="47" t="s">
        <v>224</v>
      </c>
      <c r="I248" s="155"/>
      <c r="J248" s="155"/>
      <c r="K248" s="269">
        <v>0</v>
      </c>
      <c r="L248" s="269">
        <v>0</v>
      </c>
      <c r="M248" s="267"/>
      <c r="N248" s="267"/>
      <c r="O248" s="267"/>
      <c r="P248" s="267"/>
      <c r="Q248" s="267"/>
      <c r="R248" s="266"/>
      <c r="S248" s="48"/>
      <c r="T248" s="48">
        <f t="shared" si="93"/>
        <v>0</v>
      </c>
    </row>
    <row r="249" spans="1:20" s="27" customFormat="1" ht="25.5" x14ac:dyDescent="0.2">
      <c r="A249" s="28"/>
      <c r="B249" s="43">
        <v>14</v>
      </c>
      <c r="C249" s="155"/>
      <c r="D249" s="265"/>
      <c r="E249" s="266"/>
      <c r="F249" s="265"/>
      <c r="G249" s="43">
        <v>113012</v>
      </c>
      <c r="H249" s="47" t="s">
        <v>224</v>
      </c>
      <c r="I249" s="155"/>
      <c r="J249" s="155"/>
      <c r="K249" s="269">
        <v>0</v>
      </c>
      <c r="L249" s="269">
        <v>0</v>
      </c>
      <c r="M249" s="267"/>
      <c r="N249" s="267"/>
      <c r="O249" s="267"/>
      <c r="P249" s="267"/>
      <c r="Q249" s="267"/>
      <c r="R249" s="266"/>
      <c r="S249" s="48"/>
      <c r="T249" s="48">
        <f t="shared" si="93"/>
        <v>0</v>
      </c>
    </row>
    <row r="250" spans="1:20" s="12" customFormat="1" x14ac:dyDescent="0.2">
      <c r="A250" s="28"/>
      <c r="B250" s="66" t="s">
        <v>32</v>
      </c>
      <c r="C250" s="67"/>
      <c r="D250" s="68"/>
      <c r="E250" s="92" t="s">
        <v>226</v>
      </c>
      <c r="F250" s="106"/>
      <c r="G250" s="67"/>
      <c r="H250" s="68"/>
      <c r="I250" s="69"/>
      <c r="J250" s="69"/>
      <c r="K250" s="49">
        <f>SUM(K236:K249)</f>
        <v>0</v>
      </c>
      <c r="L250" s="49">
        <f t="shared" ref="L250:T250" si="94">SUM(L236:L249)</f>
        <v>0</v>
      </c>
      <c r="M250" s="238">
        <f t="shared" si="94"/>
        <v>0</v>
      </c>
      <c r="N250" s="238">
        <f t="shared" si="94"/>
        <v>0</v>
      </c>
      <c r="O250" s="238">
        <f t="shared" si="94"/>
        <v>0</v>
      </c>
      <c r="P250" s="238">
        <f t="shared" si="94"/>
        <v>0</v>
      </c>
      <c r="Q250" s="238">
        <f t="shared" si="94"/>
        <v>0</v>
      </c>
      <c r="R250" s="49">
        <f t="shared" si="94"/>
        <v>0</v>
      </c>
      <c r="S250" s="49"/>
      <c r="T250" s="49">
        <f t="shared" si="94"/>
        <v>0</v>
      </c>
    </row>
    <row r="251" spans="1:20" s="12" customFormat="1" x14ac:dyDescent="0.2">
      <c r="A251" s="28"/>
      <c r="B251" s="55" t="s">
        <v>144</v>
      </c>
      <c r="C251" s="56"/>
      <c r="D251" s="57"/>
      <c r="E251" s="82" t="s">
        <v>227</v>
      </c>
      <c r="F251" s="102"/>
      <c r="G251" s="58"/>
      <c r="H251" s="100"/>
      <c r="I251" s="58"/>
      <c r="J251" s="58"/>
      <c r="K251" s="50">
        <f>+K153+K164+K169+K175+K181+K187+K193+K199+K205+K212+K229+K234+K250</f>
        <v>0</v>
      </c>
      <c r="L251" s="50">
        <f t="shared" ref="L251:T251" si="95">+L153+L164+L169+L175+L181+L187+L193+L199+L205+L212+L229+L234+L250</f>
        <v>0</v>
      </c>
      <c r="M251" s="239">
        <f t="shared" si="95"/>
        <v>0</v>
      </c>
      <c r="N251" s="239">
        <f t="shared" si="95"/>
        <v>0</v>
      </c>
      <c r="O251" s="239">
        <f t="shared" si="95"/>
        <v>0</v>
      </c>
      <c r="P251" s="239">
        <f t="shared" si="95"/>
        <v>0</v>
      </c>
      <c r="Q251" s="239">
        <f t="shared" si="95"/>
        <v>0</v>
      </c>
      <c r="R251" s="50">
        <f t="shared" si="95"/>
        <v>0</v>
      </c>
      <c r="S251" s="50"/>
      <c r="T251" s="50">
        <f t="shared" si="95"/>
        <v>0</v>
      </c>
    </row>
    <row r="252" spans="1:20" x14ac:dyDescent="0.2">
      <c r="K252" s="29"/>
      <c r="L252" s="29"/>
      <c r="M252" s="240"/>
      <c r="N252" s="240"/>
      <c r="O252" s="240"/>
      <c r="P252" s="240"/>
      <c r="Q252" s="240"/>
      <c r="R252" s="29"/>
      <c r="S252" s="29"/>
      <c r="T252" s="29"/>
    </row>
    <row r="253" spans="1:20" s="26" customFormat="1" x14ac:dyDescent="0.2">
      <c r="A253" s="28"/>
      <c r="B253" s="72" t="s">
        <v>228</v>
      </c>
      <c r="C253" s="73"/>
      <c r="D253" s="74"/>
      <c r="E253" s="93" t="s">
        <v>229</v>
      </c>
      <c r="F253" s="104"/>
      <c r="G253" s="73"/>
      <c r="H253" s="74"/>
      <c r="I253" s="73"/>
      <c r="J253" s="73"/>
      <c r="K253" s="75"/>
      <c r="L253" s="75"/>
      <c r="M253" s="241"/>
      <c r="N253" s="241"/>
      <c r="O253" s="241"/>
      <c r="P253" s="241"/>
      <c r="Q253" s="241"/>
      <c r="R253" s="75"/>
      <c r="S253" s="75"/>
      <c r="T253" s="76"/>
    </row>
    <row r="254" spans="1:20" s="26" customFormat="1" x14ac:dyDescent="0.2">
      <c r="A254" s="28"/>
      <c r="B254" s="51" t="s">
        <v>231</v>
      </c>
      <c r="C254" s="52"/>
      <c r="D254" s="53"/>
      <c r="E254" s="91" t="s">
        <v>230</v>
      </c>
      <c r="F254" s="105"/>
      <c r="G254" s="52"/>
      <c r="H254" s="53"/>
      <c r="I254" s="54"/>
      <c r="J254" s="54"/>
      <c r="K254" s="64"/>
      <c r="L254" s="64"/>
      <c r="M254" s="236"/>
      <c r="N254" s="236"/>
      <c r="O254" s="236"/>
      <c r="P254" s="236"/>
      <c r="Q254" s="236"/>
      <c r="R254" s="64"/>
      <c r="S254" s="64"/>
      <c r="T254" s="65"/>
    </row>
    <row r="255" spans="1:20" x14ac:dyDescent="0.2">
      <c r="B255" s="43">
        <v>1</v>
      </c>
      <c r="C255" s="85">
        <v>11400101</v>
      </c>
      <c r="D255" s="47" t="str">
        <f>+IF(G255="","",VLOOKUP('AFE DETAILED'!C255,'AVERAGE COST'!$B:$D,3,0))</f>
        <v>DAY</v>
      </c>
      <c r="E255" s="48">
        <f>+IF(C255="",0,VLOOKUP(C255,'AVERAGE COST'!$B$3:$E$995,4))</f>
        <v>0</v>
      </c>
      <c r="F255" s="47" t="s">
        <v>234</v>
      </c>
      <c r="G255" s="43">
        <v>114001</v>
      </c>
      <c r="H255" s="47" t="s">
        <v>233</v>
      </c>
      <c r="I255" s="155"/>
      <c r="J255" s="155"/>
      <c r="K255" s="48">
        <v>0</v>
      </c>
      <c r="L255" s="48">
        <v>0</v>
      </c>
      <c r="M255" s="237">
        <f>IF(M4="N/A",0,IF(AND(M83=0,M84=0),0,ROUNDUP(M8+M9,0)*$E$255*'INITIAL DATA'!C68))</f>
        <v>0</v>
      </c>
      <c r="N255" s="237">
        <f>IF(N4="N/A",0,IF(AND(N83=0,N84=0),0,ROUNDUP(N8+N9,0)*$E$255*'INITIAL DATA'!D68))</f>
        <v>0</v>
      </c>
      <c r="O255" s="237">
        <f>IF(O4="N/A",0,IF(AND(O83=0,O84=0),0,ROUNDUP(O8+O9,0)*$E$255*'INITIAL DATA'!E68))</f>
        <v>0</v>
      </c>
      <c r="P255" s="237">
        <f>IF(P4="N/A",0,IF(AND(P83=0,P84=0),0,ROUNDUP(P8+P9,0)*$E$255*'INITIAL DATA'!F68))</f>
        <v>0</v>
      </c>
      <c r="Q255" s="237">
        <f>IF(Q4="N/A",0,IF(AND(Q83=0,Q84=0),0,ROUNDUP(Q8+Q9,0)*$E$255*'INITIAL DATA'!G68))</f>
        <v>0</v>
      </c>
      <c r="R255" s="48">
        <f>IF(R4="N/A",0,IF(AND(R83=0,R84=0),0,ROUNDUP(R8+R9,0)*$E$255*'INITIAL DATA'!H68))</f>
        <v>0</v>
      </c>
      <c r="S255" s="48"/>
      <c r="T255" s="48">
        <f>SUM(K255:R255)</f>
        <v>0</v>
      </c>
    </row>
    <row r="256" spans="1:20" x14ac:dyDescent="0.2">
      <c r="B256" s="43">
        <v>2</v>
      </c>
      <c r="C256" s="85">
        <v>11400102</v>
      </c>
      <c r="D256" s="47" t="str">
        <f>+IF(G256="","",VLOOKUP('AFE DETAILED'!C256,'AVERAGE COST'!$B:$D,3,0))</f>
        <v>GLOBAL</v>
      </c>
      <c r="E256" s="48">
        <f>+IF(C256="",0,VLOOKUP(C256,'AVERAGE COST'!$B$3:$E$995,4))</f>
        <v>0</v>
      </c>
      <c r="F256" s="47" t="s">
        <v>203</v>
      </c>
      <c r="G256" s="43">
        <v>114001</v>
      </c>
      <c r="H256" s="47" t="s">
        <v>233</v>
      </c>
      <c r="I256" s="155"/>
      <c r="J256" s="155"/>
      <c r="K256" s="48">
        <v>0</v>
      </c>
      <c r="L256" s="48">
        <v>0</v>
      </c>
      <c r="M256" s="237">
        <f>IF(M4="n/a",0,IF(M255=0,0,$E$256))</f>
        <v>0</v>
      </c>
      <c r="N256" s="237">
        <v>0</v>
      </c>
      <c r="O256" s="237">
        <v>0</v>
      </c>
      <c r="P256" s="237">
        <v>0</v>
      </c>
      <c r="Q256" s="237">
        <v>0</v>
      </c>
      <c r="R256" s="48">
        <v>0</v>
      </c>
      <c r="S256" s="48"/>
      <c r="T256" s="48">
        <f t="shared" ref="T256:T258" si="96">SUM(K256:R256)</f>
        <v>0</v>
      </c>
    </row>
    <row r="257" spans="1:20" x14ac:dyDescent="0.2">
      <c r="B257" s="43">
        <v>3</v>
      </c>
      <c r="C257" s="85">
        <v>11400103</v>
      </c>
      <c r="D257" s="47" t="str">
        <f>+IF(G257="","",VLOOKUP('AFE DETAILED'!C257,'AVERAGE COST'!$B:$D,3,0))</f>
        <v>GLOBAL</v>
      </c>
      <c r="E257" s="48">
        <f>+IF(C257="",0,VLOOKUP(C257,'AVERAGE COST'!$B$3:$E$995,4))</f>
        <v>0</v>
      </c>
      <c r="F257" s="47" t="s">
        <v>98</v>
      </c>
      <c r="G257" s="43">
        <v>114001</v>
      </c>
      <c r="H257" s="47" t="s">
        <v>233</v>
      </c>
      <c r="I257" s="155"/>
      <c r="J257" s="155"/>
      <c r="K257" s="48">
        <v>0</v>
      </c>
      <c r="L257" s="48">
        <v>0</v>
      </c>
      <c r="M257" s="237">
        <v>0</v>
      </c>
      <c r="N257" s="237">
        <v>0</v>
      </c>
      <c r="O257" s="237">
        <v>0</v>
      </c>
      <c r="P257" s="237">
        <v>0</v>
      </c>
      <c r="Q257" s="237">
        <v>0</v>
      </c>
      <c r="R257" s="48">
        <v>0</v>
      </c>
      <c r="S257" s="48"/>
      <c r="T257" s="48">
        <f t="shared" si="96"/>
        <v>0</v>
      </c>
    </row>
    <row r="258" spans="1:20" x14ac:dyDescent="0.2">
      <c r="B258" s="43">
        <v>4</v>
      </c>
      <c r="C258" s="155"/>
      <c r="D258" s="265"/>
      <c r="E258" s="266"/>
      <c r="F258" s="265"/>
      <c r="G258" s="43">
        <v>114001</v>
      </c>
      <c r="H258" s="47" t="s">
        <v>233</v>
      </c>
      <c r="I258" s="155"/>
      <c r="J258" s="155"/>
      <c r="K258" s="269">
        <v>0</v>
      </c>
      <c r="L258" s="269">
        <v>0</v>
      </c>
      <c r="M258" s="267"/>
      <c r="N258" s="267"/>
      <c r="O258" s="267"/>
      <c r="P258" s="267"/>
      <c r="Q258" s="267"/>
      <c r="R258" s="266"/>
      <c r="S258" s="48"/>
      <c r="T258" s="48">
        <f t="shared" si="96"/>
        <v>0</v>
      </c>
    </row>
    <row r="259" spans="1:20" s="26" customFormat="1" x14ac:dyDescent="0.2">
      <c r="A259" s="28"/>
      <c r="B259" s="66" t="s">
        <v>32</v>
      </c>
      <c r="C259" s="67"/>
      <c r="D259" s="68"/>
      <c r="E259" s="92" t="s">
        <v>235</v>
      </c>
      <c r="F259" s="106"/>
      <c r="G259" s="67"/>
      <c r="H259" s="68"/>
      <c r="I259" s="69"/>
      <c r="J259" s="69"/>
      <c r="K259" s="49">
        <f t="shared" ref="K259:R259" si="97">SUM(K255:K258)</f>
        <v>0</v>
      </c>
      <c r="L259" s="49">
        <f t="shared" si="97"/>
        <v>0</v>
      </c>
      <c r="M259" s="238">
        <f t="shared" si="97"/>
        <v>0</v>
      </c>
      <c r="N259" s="238">
        <f t="shared" si="97"/>
        <v>0</v>
      </c>
      <c r="O259" s="238">
        <f t="shared" si="97"/>
        <v>0</v>
      </c>
      <c r="P259" s="238">
        <f t="shared" si="97"/>
        <v>0</v>
      </c>
      <c r="Q259" s="238">
        <f t="shared" si="97"/>
        <v>0</v>
      </c>
      <c r="R259" s="49">
        <f t="shared" si="97"/>
        <v>0</v>
      </c>
      <c r="S259" s="49"/>
      <c r="T259" s="49">
        <f>SUM(T255:T258)</f>
        <v>0</v>
      </c>
    </row>
    <row r="260" spans="1:20" s="28" customFormat="1" x14ac:dyDescent="0.2">
      <c r="B260" s="66" t="s">
        <v>232</v>
      </c>
      <c r="C260" s="67"/>
      <c r="D260" s="68"/>
      <c r="E260" s="92" t="s">
        <v>241</v>
      </c>
      <c r="F260" s="106"/>
      <c r="G260" s="67"/>
      <c r="H260" s="68"/>
      <c r="I260" s="69"/>
      <c r="J260" s="69"/>
      <c r="K260" s="70"/>
      <c r="L260" s="70"/>
      <c r="M260" s="242"/>
      <c r="N260" s="242"/>
      <c r="O260" s="242"/>
      <c r="P260" s="242"/>
      <c r="Q260" s="242"/>
      <c r="R260" s="70"/>
      <c r="S260" s="70"/>
      <c r="T260" s="71"/>
    </row>
    <row r="261" spans="1:20" x14ac:dyDescent="0.2">
      <c r="B261" s="43">
        <v>1</v>
      </c>
      <c r="C261" s="85">
        <v>11400201</v>
      </c>
      <c r="D261" s="47" t="str">
        <f>+IF(G261="","",VLOOKUP('AFE DETAILED'!C261,'AVERAGE COST'!$B:$D,3,0))</f>
        <v>FT</v>
      </c>
      <c r="E261" s="48">
        <f>+IF(C261="",0,VLOOKUP(C261,'AVERAGE COST'!$B$3:$E$995,4))</f>
        <v>0</v>
      </c>
      <c r="F261" s="47" t="s">
        <v>236</v>
      </c>
      <c r="G261" s="43">
        <v>114002</v>
      </c>
      <c r="H261" s="47" t="s">
        <v>239</v>
      </c>
      <c r="I261" s="155"/>
      <c r="J261" s="155"/>
      <c r="K261" s="48">
        <v>0</v>
      </c>
      <c r="L261" s="48">
        <v>0</v>
      </c>
      <c r="M261" s="237">
        <f>+IF(M4="N/A",0,$E$261*(M11-L11+'INITIAL DATA'!C57))</f>
        <v>0</v>
      </c>
      <c r="N261" s="237">
        <f>+IF(N4="N/A",0,$E$261*(N11-M11+'INITIAL DATA'!D57))</f>
        <v>0</v>
      </c>
      <c r="O261" s="237">
        <f>+IF(O4="N/A",0,$E$261*(O11-N11+'INITIAL DATA'!E57))</f>
        <v>0</v>
      </c>
      <c r="P261" s="237">
        <f>+IF(P4="N/A",0,$E$261*(P11-O11+'INITIAL DATA'!F57))</f>
        <v>0</v>
      </c>
      <c r="Q261" s="237">
        <f>+IF(Q4="N/A",0,$E$261*(Q11-P11+'INITIAL DATA'!G57))</f>
        <v>0</v>
      </c>
      <c r="R261" s="48">
        <f>+IF(R4="N/A",0,$E$261*(R11-Q11+'INITIAL DATA'!H57))</f>
        <v>0</v>
      </c>
      <c r="S261" s="48"/>
      <c r="T261" s="48">
        <f>SUM(K261:R261)</f>
        <v>0</v>
      </c>
    </row>
    <row r="262" spans="1:20" x14ac:dyDescent="0.2">
      <c r="B262" s="43">
        <v>2</v>
      </c>
      <c r="C262" s="85">
        <v>11400202</v>
      </c>
      <c r="D262" s="47" t="str">
        <f>+IF(G262="","",VLOOKUP('AFE DETAILED'!C262,'AVERAGE COST'!$B:$D,3,0))</f>
        <v>GLOBAL</v>
      </c>
      <c r="E262" s="48">
        <f>+IF(C262="",0,VLOOKUP(C262,'AVERAGE COST'!$B$3:$E$995,4))</f>
        <v>0</v>
      </c>
      <c r="F262" s="47" t="s">
        <v>203</v>
      </c>
      <c r="G262" s="43">
        <v>114002</v>
      </c>
      <c r="H262" s="47" t="s">
        <v>239</v>
      </c>
      <c r="I262" s="155"/>
      <c r="J262" s="155"/>
      <c r="K262" s="48">
        <v>0</v>
      </c>
      <c r="L262" s="48">
        <v>0</v>
      </c>
      <c r="M262" s="237">
        <f>+IF(M4="N/A",0,IF(M261=0,0,$E$262))</f>
        <v>0</v>
      </c>
      <c r="N262" s="237">
        <f t="shared" ref="N262:R262" si="98">+IF(N4="N/A",0,IF(N261=0,0,$E$262))</f>
        <v>0</v>
      </c>
      <c r="O262" s="237">
        <f t="shared" si="98"/>
        <v>0</v>
      </c>
      <c r="P262" s="237">
        <f t="shared" si="98"/>
        <v>0</v>
      </c>
      <c r="Q262" s="237">
        <f t="shared" si="98"/>
        <v>0</v>
      </c>
      <c r="R262" s="48">
        <f t="shared" si="98"/>
        <v>0</v>
      </c>
      <c r="S262" s="48"/>
      <c r="T262" s="48">
        <f t="shared" ref="T262:T264" si="99">SUM(K262:R262)</f>
        <v>0</v>
      </c>
    </row>
    <row r="263" spans="1:20" x14ac:dyDescent="0.2">
      <c r="B263" s="43">
        <v>3</v>
      </c>
      <c r="C263" s="85">
        <v>11400203</v>
      </c>
      <c r="D263" s="47" t="str">
        <f>+IF(G263="","",VLOOKUP('AFE DETAILED'!C263,'AVERAGE COST'!$B:$D,3,0))</f>
        <v>DAY</v>
      </c>
      <c r="E263" s="48">
        <f>+IF(C263="",0,VLOOKUP(C263,'AVERAGE COST'!$B$3:$E$995,4))</f>
        <v>0</v>
      </c>
      <c r="F263" s="47" t="s">
        <v>237</v>
      </c>
      <c r="G263" s="43">
        <v>114002</v>
      </c>
      <c r="H263" s="47" t="s">
        <v>239</v>
      </c>
      <c r="I263" s="155"/>
      <c r="J263" s="155"/>
      <c r="K263" s="48">
        <v>0</v>
      </c>
      <c r="L263" s="48">
        <v>0</v>
      </c>
      <c r="M263" s="237">
        <f>+IF(M4="N/A",0,IF(M261=0,0,$E$263*ROUNDUP(M9,0)))</f>
        <v>0</v>
      </c>
      <c r="N263" s="237">
        <f t="shared" ref="N263:R263" si="100">+IF(N4="N/A",0,IF(N261=0,0,$E$263*ROUNDUP(N9,0)))</f>
        <v>0</v>
      </c>
      <c r="O263" s="237">
        <f t="shared" si="100"/>
        <v>0</v>
      </c>
      <c r="P263" s="237">
        <f t="shared" si="100"/>
        <v>0</v>
      </c>
      <c r="Q263" s="237">
        <f t="shared" si="100"/>
        <v>0</v>
      </c>
      <c r="R263" s="48">
        <f t="shared" si="100"/>
        <v>0</v>
      </c>
      <c r="S263" s="48"/>
      <c r="T263" s="48">
        <f t="shared" si="99"/>
        <v>0</v>
      </c>
    </row>
    <row r="264" spans="1:20" x14ac:dyDescent="0.2">
      <c r="B264" s="43">
        <v>4</v>
      </c>
      <c r="C264" s="85">
        <v>11400204</v>
      </c>
      <c r="D264" s="47" t="str">
        <f>+IF(G264="","",VLOOKUP('AFE DETAILED'!C264,'AVERAGE COST'!$B:$D,3,0))</f>
        <v>DAY</v>
      </c>
      <c r="E264" s="48">
        <f>+IF(C264="",0,VLOOKUP(C264,'AVERAGE COST'!$B$3:$E$995,4))</f>
        <v>0</v>
      </c>
      <c r="F264" s="47" t="s">
        <v>238</v>
      </c>
      <c r="G264" s="43">
        <v>114002</v>
      </c>
      <c r="H264" s="47" t="s">
        <v>239</v>
      </c>
      <c r="I264" s="155"/>
      <c r="J264" s="155"/>
      <c r="K264" s="48">
        <v>0</v>
      </c>
      <c r="L264" s="48">
        <v>0</v>
      </c>
      <c r="M264" s="237">
        <f>+IF(M4="N/A",0,IF(M261=0,0,$E$264*ROUNDUP(M9,0)))</f>
        <v>0</v>
      </c>
      <c r="N264" s="237">
        <f t="shared" ref="N264:R264" si="101">+IF(N4="N/A",0,IF(N261=0,0,$E$264*ROUNDUP(N9,0)))</f>
        <v>0</v>
      </c>
      <c r="O264" s="237">
        <f t="shared" si="101"/>
        <v>0</v>
      </c>
      <c r="P264" s="237">
        <f t="shared" si="101"/>
        <v>0</v>
      </c>
      <c r="Q264" s="237">
        <f t="shared" si="101"/>
        <v>0</v>
      </c>
      <c r="R264" s="48">
        <f t="shared" si="101"/>
        <v>0</v>
      </c>
      <c r="S264" s="48"/>
      <c r="T264" s="48">
        <f t="shared" si="99"/>
        <v>0</v>
      </c>
    </row>
    <row r="265" spans="1:20" s="26" customFormat="1" x14ac:dyDescent="0.2">
      <c r="A265" s="28"/>
      <c r="B265" s="66" t="s">
        <v>32</v>
      </c>
      <c r="C265" s="67"/>
      <c r="D265" s="68"/>
      <c r="E265" s="92" t="s">
        <v>242</v>
      </c>
      <c r="F265" s="106"/>
      <c r="G265" s="67"/>
      <c r="H265" s="68"/>
      <c r="I265" s="69"/>
      <c r="J265" s="69"/>
      <c r="K265" s="49">
        <f>SUM(K261:K264)</f>
        <v>0</v>
      </c>
      <c r="L265" s="49">
        <f t="shared" ref="L265:R265" si="102">SUM(L261:L264)</f>
        <v>0</v>
      </c>
      <c r="M265" s="238">
        <f t="shared" si="102"/>
        <v>0</v>
      </c>
      <c r="N265" s="238">
        <f t="shared" si="102"/>
        <v>0</v>
      </c>
      <c r="O265" s="238">
        <f t="shared" si="102"/>
        <v>0</v>
      </c>
      <c r="P265" s="238">
        <f t="shared" si="102"/>
        <v>0</v>
      </c>
      <c r="Q265" s="238">
        <f t="shared" si="102"/>
        <v>0</v>
      </c>
      <c r="R265" s="49">
        <f t="shared" si="102"/>
        <v>0</v>
      </c>
      <c r="S265" s="49"/>
      <c r="T265" s="49">
        <f t="shared" ref="T265" si="103">SUM(T261:T264)</f>
        <v>0</v>
      </c>
    </row>
    <row r="266" spans="1:20" s="26" customFormat="1" x14ac:dyDescent="0.2">
      <c r="A266" s="28"/>
      <c r="B266" s="66" t="s">
        <v>240</v>
      </c>
      <c r="C266" s="67"/>
      <c r="D266" s="68"/>
      <c r="E266" s="92" t="s">
        <v>243</v>
      </c>
      <c r="F266" s="106"/>
      <c r="G266" s="67"/>
      <c r="H266" s="68"/>
      <c r="I266" s="69"/>
      <c r="J266" s="69"/>
      <c r="K266" s="70"/>
      <c r="L266" s="70"/>
      <c r="M266" s="242"/>
      <c r="N266" s="242"/>
      <c r="O266" s="242"/>
      <c r="P266" s="242"/>
      <c r="Q266" s="242"/>
      <c r="R266" s="70"/>
      <c r="S266" s="70"/>
      <c r="T266" s="71"/>
    </row>
    <row r="267" spans="1:20" x14ac:dyDescent="0.2">
      <c r="B267" s="43">
        <v>1</v>
      </c>
      <c r="C267" s="85">
        <v>11400301</v>
      </c>
      <c r="D267" s="47" t="str">
        <f>+IF(G267="","",VLOOKUP('AFE DETAILED'!C267,'AVERAGE COST'!$B:$D,3,0))</f>
        <v>UNIT</v>
      </c>
      <c r="E267" s="48">
        <f>+IF(C267="",0,VLOOKUP(C267,'AVERAGE COST'!$B$3:$E$995,4))</f>
        <v>0</v>
      </c>
      <c r="F267" s="47" t="s">
        <v>246</v>
      </c>
      <c r="G267" s="43">
        <v>114003</v>
      </c>
      <c r="H267" s="47" t="s">
        <v>243</v>
      </c>
      <c r="I267" s="155"/>
      <c r="J267" s="155"/>
      <c r="K267" s="48">
        <v>0</v>
      </c>
      <c r="L267" s="48">
        <v>0</v>
      </c>
      <c r="M267" s="237">
        <f>+IF(M4="N/a",0,$E$267*'INITIAL DATA'!C69)</f>
        <v>0</v>
      </c>
      <c r="N267" s="237">
        <f>+IF(N4="N/a",0,$E$267*'INITIAL DATA'!D69)</f>
        <v>0</v>
      </c>
      <c r="O267" s="237">
        <f>+IF(O4="N/a",0,$E$267*'INITIAL DATA'!E69)</f>
        <v>0</v>
      </c>
      <c r="P267" s="237">
        <f>+IF(P4="N/a",0,$E$267*'INITIAL DATA'!F69)</f>
        <v>0</v>
      </c>
      <c r="Q267" s="237">
        <f>+IF(Q4="N/a",0,$E$267*'INITIAL DATA'!G69)</f>
        <v>0</v>
      </c>
      <c r="R267" s="48">
        <f>+IF(R4="N/a",0,$E$267*'INITIAL DATA'!H69)</f>
        <v>0</v>
      </c>
      <c r="S267" s="48"/>
      <c r="T267" s="48">
        <f>SUM(K267:R267)</f>
        <v>0</v>
      </c>
    </row>
    <row r="268" spans="1:20" x14ac:dyDescent="0.2">
      <c r="B268" s="43">
        <v>2</v>
      </c>
      <c r="C268" s="85">
        <v>11400302</v>
      </c>
      <c r="D268" s="47" t="str">
        <f>+IF(G268="","",VLOOKUP('AFE DETAILED'!C268,'AVERAGE COST'!$B:$D,3,0))</f>
        <v>DAY</v>
      </c>
      <c r="E268" s="48">
        <f>+IF(C268="",0,VLOOKUP(C268,'AVERAGE COST'!$B$3:$E$995,4))</f>
        <v>0</v>
      </c>
      <c r="F268" s="47" t="s">
        <v>247</v>
      </c>
      <c r="G268" s="43">
        <v>114003</v>
      </c>
      <c r="H268" s="47" t="s">
        <v>243</v>
      </c>
      <c r="I268" s="155"/>
      <c r="J268" s="155"/>
      <c r="K268" s="48">
        <v>0</v>
      </c>
      <c r="L268" s="48">
        <v>0</v>
      </c>
      <c r="M268" s="237">
        <f>+IF(M4="N/a",0,$E$268*'INITIAL DATA'!C70)</f>
        <v>0</v>
      </c>
      <c r="N268" s="237">
        <f>+IF(N4="N/a",0,$E$268*'INITIAL DATA'!D70)</f>
        <v>0</v>
      </c>
      <c r="O268" s="237">
        <f>+IF(O4="N/a",0,$E$268*'INITIAL DATA'!E70)</f>
        <v>0</v>
      </c>
      <c r="P268" s="237">
        <f>+IF(P4="N/a",0,$E$268*'INITIAL DATA'!F70)</f>
        <v>0</v>
      </c>
      <c r="Q268" s="237">
        <f>+IF(Q4="N/a",0,$E$268*'INITIAL DATA'!G70)</f>
        <v>0</v>
      </c>
      <c r="R268" s="48">
        <f>+IF(R4="N/a",0,$E$268*'INITIAL DATA'!H70)</f>
        <v>0</v>
      </c>
      <c r="S268" s="48"/>
      <c r="T268" s="48">
        <f t="shared" ref="T268:T281" si="104">SUM(K268:R268)</f>
        <v>0</v>
      </c>
    </row>
    <row r="269" spans="1:20" x14ac:dyDescent="0.2">
      <c r="B269" s="43">
        <v>3</v>
      </c>
      <c r="C269" s="85">
        <v>11400303</v>
      </c>
      <c r="D269" s="47" t="str">
        <f>+IF(G269="","",VLOOKUP('AFE DETAILED'!C269,'AVERAGE COST'!$B:$D,3,0))</f>
        <v>DAY</v>
      </c>
      <c r="E269" s="48">
        <f>+IF(C269="",0,VLOOKUP(C269,'AVERAGE COST'!$B$3:$E$995,4))</f>
        <v>0</v>
      </c>
      <c r="F269" s="47" t="s">
        <v>248</v>
      </c>
      <c r="G269" s="43">
        <v>114003</v>
      </c>
      <c r="H269" s="47" t="s">
        <v>243</v>
      </c>
      <c r="I269" s="155"/>
      <c r="J269" s="155"/>
      <c r="K269" s="48">
        <v>0</v>
      </c>
      <c r="L269" s="48">
        <v>0</v>
      </c>
      <c r="M269" s="237">
        <f>+IF(M4="N/a",0,$E$269*'INITIAL DATA'!C71)</f>
        <v>0</v>
      </c>
      <c r="N269" s="237">
        <f>+IF(N4="N/a",0,$E$269*'INITIAL DATA'!D71)</f>
        <v>0</v>
      </c>
      <c r="O269" s="237">
        <f>+IF(O4="N/a",0,$E$269*'INITIAL DATA'!E71)</f>
        <v>0</v>
      </c>
      <c r="P269" s="237">
        <f>+IF(P4="N/a",0,$E$269*'INITIAL DATA'!F71)</f>
        <v>0</v>
      </c>
      <c r="Q269" s="237">
        <f>+IF(Q4="N/a",0,$E$269*'INITIAL DATA'!G71)</f>
        <v>0</v>
      </c>
      <c r="R269" s="48">
        <f>+IF(R4="N/a",0,$E$269*'INITIAL DATA'!H71)</f>
        <v>0</v>
      </c>
      <c r="S269" s="48"/>
      <c r="T269" s="48">
        <f t="shared" si="104"/>
        <v>0</v>
      </c>
    </row>
    <row r="270" spans="1:20" x14ac:dyDescent="0.2">
      <c r="B270" s="43">
        <v>4</v>
      </c>
      <c r="C270" s="85">
        <v>11400304</v>
      </c>
      <c r="D270" s="47" t="str">
        <f>+IF(G270="","",VLOOKUP('AFE DETAILED'!C270,'AVERAGE COST'!$B:$D,3,0))</f>
        <v>GLOBAL</v>
      </c>
      <c r="E270" s="48">
        <f>+IF(C270="",0,VLOOKUP(C270,'AVERAGE COST'!$B$3:$E$995,4))</f>
        <v>0</v>
      </c>
      <c r="F270" s="47" t="s">
        <v>249</v>
      </c>
      <c r="G270" s="43">
        <v>114003</v>
      </c>
      <c r="H270" s="47" t="s">
        <v>243</v>
      </c>
      <c r="I270" s="155"/>
      <c r="J270" s="155"/>
      <c r="K270" s="48">
        <v>0</v>
      </c>
      <c r="L270" s="48">
        <v>0</v>
      </c>
      <c r="M270" s="237">
        <f>+IF(M4="N/A",0,IF(M92=0,0,$E$270))</f>
        <v>0</v>
      </c>
      <c r="N270" s="237">
        <f t="shared" ref="N270:R270" si="105">+IF(N4="N/A",0,IF(N92=0,0,$E$270))</f>
        <v>0</v>
      </c>
      <c r="O270" s="237">
        <f t="shared" si="105"/>
        <v>0</v>
      </c>
      <c r="P270" s="237">
        <f t="shared" si="105"/>
        <v>0</v>
      </c>
      <c r="Q270" s="237">
        <f t="shared" si="105"/>
        <v>0</v>
      </c>
      <c r="R270" s="48">
        <f t="shared" si="105"/>
        <v>0</v>
      </c>
      <c r="S270" s="48"/>
      <c r="T270" s="48">
        <f t="shared" si="104"/>
        <v>0</v>
      </c>
    </row>
    <row r="271" spans="1:20" x14ac:dyDescent="0.2">
      <c r="B271" s="43">
        <v>5</v>
      </c>
      <c r="C271" s="85">
        <v>11400305</v>
      </c>
      <c r="D271" s="47" t="str">
        <f>+IF(G271="","",VLOOKUP('AFE DETAILED'!C271,'AVERAGE COST'!$B:$D,3,0))</f>
        <v>GLOBAL</v>
      </c>
      <c r="E271" s="48">
        <f>+IF(C271="",0,VLOOKUP(C271,'AVERAGE COST'!$B$3:$E$995,4))</f>
        <v>0</v>
      </c>
      <c r="F271" s="47" t="s">
        <v>203</v>
      </c>
      <c r="G271" s="43">
        <v>114003</v>
      </c>
      <c r="H271" s="47" t="s">
        <v>243</v>
      </c>
      <c r="I271" s="155"/>
      <c r="J271" s="155"/>
      <c r="K271" s="48">
        <v>0</v>
      </c>
      <c r="L271" s="48">
        <v>0</v>
      </c>
      <c r="M271" s="237">
        <f>+IF(M4="N/A",0,IF(OR(M267&lt;&gt;0,M268&lt;&gt;0,M269&lt;&gt;0,M270&lt;&gt;0),$E$271,0))</f>
        <v>0</v>
      </c>
      <c r="N271" s="237">
        <v>0</v>
      </c>
      <c r="O271" s="237">
        <v>0</v>
      </c>
      <c r="P271" s="237">
        <v>0</v>
      </c>
      <c r="Q271" s="237">
        <v>0</v>
      </c>
      <c r="R271" s="48">
        <v>0</v>
      </c>
      <c r="S271" s="48"/>
      <c r="T271" s="48">
        <f t="shared" si="104"/>
        <v>0</v>
      </c>
    </row>
    <row r="272" spans="1:20" x14ac:dyDescent="0.2">
      <c r="B272" s="43">
        <v>6</v>
      </c>
      <c r="C272" s="85">
        <v>11400306</v>
      </c>
      <c r="D272" s="47" t="str">
        <f>+IF(G272="","",VLOOKUP('AFE DETAILED'!C272,'AVERAGE COST'!$B:$D,3,0))</f>
        <v>DAY</v>
      </c>
      <c r="E272" s="48">
        <f>+IF(C272="",0,VLOOKUP(C272,'AVERAGE COST'!$B$3:$E$995,4))</f>
        <v>0</v>
      </c>
      <c r="F272" s="47" t="s">
        <v>237</v>
      </c>
      <c r="G272" s="43">
        <v>114003</v>
      </c>
      <c r="H272" s="47" t="s">
        <v>243</v>
      </c>
      <c r="I272" s="155"/>
      <c r="J272" s="155"/>
      <c r="K272" s="48">
        <v>0</v>
      </c>
      <c r="L272" s="48">
        <v>0</v>
      </c>
      <c r="M272" s="237">
        <f>+IF(M4="N/A",0,IF(OR(M267&lt;&gt;0,M268&lt;&gt;0,M269&lt;&gt;0,M270&lt;&gt;0),$E$272*M9*2,0))</f>
        <v>0</v>
      </c>
      <c r="N272" s="237">
        <f t="shared" ref="N272:R272" si="106">+IF(N4="N/A",0,IF(OR(N267&lt;&gt;0,N268&lt;&gt;0,N269&lt;&gt;0,N270&lt;&gt;0),$E$272*N9*2,0))</f>
        <v>0</v>
      </c>
      <c r="O272" s="237">
        <f t="shared" si="106"/>
        <v>0</v>
      </c>
      <c r="P272" s="237">
        <f t="shared" si="106"/>
        <v>0</v>
      </c>
      <c r="Q272" s="237">
        <f t="shared" si="106"/>
        <v>0</v>
      </c>
      <c r="R272" s="48">
        <f t="shared" si="106"/>
        <v>0</v>
      </c>
      <c r="S272" s="48"/>
      <c r="T272" s="48">
        <f t="shared" si="104"/>
        <v>0</v>
      </c>
    </row>
    <row r="273" spans="1:20" x14ac:dyDescent="0.2">
      <c r="B273" s="43">
        <v>7</v>
      </c>
      <c r="C273" s="85">
        <v>11400307</v>
      </c>
      <c r="D273" s="47" t="str">
        <f>+IF(G273="","",VLOOKUP('AFE DETAILED'!C273,'AVERAGE COST'!$B:$D,3,0))</f>
        <v>GLOBAL</v>
      </c>
      <c r="E273" s="48">
        <f>+IF(C273="",0,VLOOKUP(C273,'AVERAGE COST'!$B$3:$E$995,4))</f>
        <v>0</v>
      </c>
      <c r="F273" s="47" t="s">
        <v>98</v>
      </c>
      <c r="G273" s="43">
        <v>114003</v>
      </c>
      <c r="H273" s="47" t="s">
        <v>243</v>
      </c>
      <c r="I273" s="155"/>
      <c r="J273" s="155"/>
      <c r="K273" s="48">
        <v>0</v>
      </c>
      <c r="L273" s="48">
        <v>0</v>
      </c>
      <c r="M273" s="237">
        <v>0</v>
      </c>
      <c r="N273" s="237">
        <v>0</v>
      </c>
      <c r="O273" s="237">
        <v>0</v>
      </c>
      <c r="P273" s="237">
        <v>0</v>
      </c>
      <c r="Q273" s="237">
        <v>0</v>
      </c>
      <c r="R273" s="48">
        <v>0</v>
      </c>
      <c r="S273" s="48"/>
      <c r="T273" s="48">
        <f t="shared" si="104"/>
        <v>0</v>
      </c>
    </row>
    <row r="274" spans="1:20" x14ac:dyDescent="0.2">
      <c r="B274" s="43">
        <v>8</v>
      </c>
      <c r="C274" s="85">
        <v>11400308</v>
      </c>
      <c r="D274" s="47" t="str">
        <f>+IF(G274="","",VLOOKUP('AFE DETAILED'!C274,'AVERAGE COST'!$B:$D,3,0))</f>
        <v>DAY</v>
      </c>
      <c r="E274" s="48">
        <f>+IF(C274="",0,VLOOKUP(C274,'AVERAGE COST'!$B$3:$E$995,4))</f>
        <v>0</v>
      </c>
      <c r="F274" s="47" t="s">
        <v>238</v>
      </c>
      <c r="G274" s="43">
        <v>114003</v>
      </c>
      <c r="H274" s="47" t="s">
        <v>243</v>
      </c>
      <c r="I274" s="155"/>
      <c r="J274" s="155"/>
      <c r="K274" s="48">
        <v>0</v>
      </c>
      <c r="L274" s="48">
        <v>0</v>
      </c>
      <c r="M274" s="237">
        <f>+IF(M4="N/A",0,IF(OR(M267&lt;&gt;0,M268&lt;&gt;0,M269&lt;&gt;0,M270&lt;&gt;0),$E$274*M9,0))</f>
        <v>0</v>
      </c>
      <c r="N274" s="237">
        <f t="shared" ref="N274:R274" si="107">+IF(N4="N/A",0,IF(OR(N267&lt;&gt;0,N268&lt;&gt;0,N269&lt;&gt;0,N270&lt;&gt;0),$E$274*N9,0))</f>
        <v>0</v>
      </c>
      <c r="O274" s="237">
        <f t="shared" si="107"/>
        <v>0</v>
      </c>
      <c r="P274" s="237">
        <f t="shared" si="107"/>
        <v>0</v>
      </c>
      <c r="Q274" s="237">
        <f t="shared" si="107"/>
        <v>0</v>
      </c>
      <c r="R274" s="48">
        <f t="shared" si="107"/>
        <v>0</v>
      </c>
      <c r="S274" s="48"/>
      <c r="T274" s="48">
        <f t="shared" si="104"/>
        <v>0</v>
      </c>
    </row>
    <row r="275" spans="1:20" x14ac:dyDescent="0.2">
      <c r="B275" s="43">
        <v>9</v>
      </c>
      <c r="C275" s="85">
        <v>11400309</v>
      </c>
      <c r="D275" s="47" t="str">
        <f>+IF(G275="","",VLOOKUP('AFE DETAILED'!C275,'AVERAGE COST'!$B:$D,3,0))</f>
        <v>DAY</v>
      </c>
      <c r="E275" s="48">
        <f>+IF(C275="",0,VLOOKUP(C275,'AVERAGE COST'!$B$3:$E$995,4))</f>
        <v>0</v>
      </c>
      <c r="F275" s="47" t="s">
        <v>250</v>
      </c>
      <c r="G275" s="43">
        <v>114003</v>
      </c>
      <c r="H275" s="47" t="s">
        <v>243</v>
      </c>
      <c r="I275" s="155"/>
      <c r="J275" s="155"/>
      <c r="K275" s="48">
        <v>0</v>
      </c>
      <c r="L275" s="48">
        <v>0</v>
      </c>
      <c r="M275" s="237">
        <f>+IF(M4="N/A",0,IF(OR(M267&lt;&gt;0,M268&lt;&gt;0,M269&lt;&gt;0,M270&lt;&gt;0),$E$275*M9,0))</f>
        <v>0</v>
      </c>
      <c r="N275" s="237">
        <f t="shared" ref="N275:R275" si="108">+IF(N4="N/A",0,IF(OR(N267&lt;&gt;0,N268&lt;&gt;0,N269&lt;&gt;0,N270&lt;&gt;0),$E$275*N9,0))</f>
        <v>0</v>
      </c>
      <c r="O275" s="237">
        <f t="shared" si="108"/>
        <v>0</v>
      </c>
      <c r="P275" s="237">
        <f t="shared" si="108"/>
        <v>0</v>
      </c>
      <c r="Q275" s="237">
        <f t="shared" si="108"/>
        <v>0</v>
      </c>
      <c r="R275" s="48">
        <f t="shared" si="108"/>
        <v>0</v>
      </c>
      <c r="S275" s="48"/>
      <c r="T275" s="48">
        <f t="shared" si="104"/>
        <v>0</v>
      </c>
    </row>
    <row r="276" spans="1:20" x14ac:dyDescent="0.2">
      <c r="B276" s="43">
        <v>10</v>
      </c>
      <c r="C276" s="85">
        <v>11400310</v>
      </c>
      <c r="D276" s="47" t="str">
        <f>+IF(G276="","",VLOOKUP('AFE DETAILED'!C276,'AVERAGE COST'!$B:$D,3,0))</f>
        <v>DAY</v>
      </c>
      <c r="E276" s="48">
        <f>+IF(C276="",0,VLOOKUP(C276,'AVERAGE COST'!$B$3:$E$995,4))</f>
        <v>0</v>
      </c>
      <c r="F276" s="47" t="s">
        <v>251</v>
      </c>
      <c r="G276" s="43">
        <v>114003</v>
      </c>
      <c r="H276" s="47" t="s">
        <v>243</v>
      </c>
      <c r="I276" s="155"/>
      <c r="J276" s="155"/>
      <c r="K276" s="48">
        <v>0</v>
      </c>
      <c r="L276" s="48">
        <v>0</v>
      </c>
      <c r="M276" s="237">
        <f>+IF(M4="N/A",0,IF(OR(M267&lt;&gt;0,M268&lt;&gt;0,M269&lt;&gt;0,M270&lt;&gt;0),$E$276*'INITIAL DATA'!C72,0))</f>
        <v>0</v>
      </c>
      <c r="N276" s="237">
        <f>+IF(N4="N/A",0,IF(OR(N267&lt;&gt;0,N268&lt;&gt;0,N269&lt;&gt;0,N270&lt;&gt;0),$E$276*'INITIAL DATA'!D72,0))</f>
        <v>0</v>
      </c>
      <c r="O276" s="237">
        <f>+IF(O4="N/A",0,IF(OR(O267&lt;&gt;0,O268&lt;&gt;0,O269&lt;&gt;0,O270&lt;&gt;0),$E$276*'INITIAL DATA'!E72,0))</f>
        <v>0</v>
      </c>
      <c r="P276" s="237">
        <f>+IF(P4="N/A",0,IF(OR(P267&lt;&gt;0,P268&lt;&gt;0,P269&lt;&gt;0,P270&lt;&gt;0),$E$276*'INITIAL DATA'!F72,0))</f>
        <v>0</v>
      </c>
      <c r="Q276" s="237">
        <f>+IF(Q4="N/A",0,IF(OR(Q267&lt;&gt;0,Q268&lt;&gt;0,Q269&lt;&gt;0,Q270&lt;&gt;0),$E$276*'INITIAL DATA'!G72,0))</f>
        <v>0</v>
      </c>
      <c r="R276" s="48">
        <f>+IF(R4="N/A",0,IF(OR(R267&lt;&gt;0,R268&lt;&gt;0,R269&lt;&gt;0,R270&lt;&gt;0),$E$276*'INITIAL DATA'!H72,0))</f>
        <v>0</v>
      </c>
      <c r="S276" s="48"/>
      <c r="T276" s="48">
        <f t="shared" si="104"/>
        <v>0</v>
      </c>
    </row>
    <row r="277" spans="1:20" x14ac:dyDescent="0.2">
      <c r="B277" s="43">
        <v>11</v>
      </c>
      <c r="C277" s="155"/>
      <c r="D277" s="265"/>
      <c r="E277" s="266"/>
      <c r="F277" s="265"/>
      <c r="G277" s="43">
        <v>114003</v>
      </c>
      <c r="H277" s="47" t="s">
        <v>243</v>
      </c>
      <c r="I277" s="155"/>
      <c r="J277" s="155"/>
      <c r="K277" s="269">
        <v>0</v>
      </c>
      <c r="L277" s="269">
        <v>0</v>
      </c>
      <c r="M277" s="267"/>
      <c r="N277" s="267"/>
      <c r="O277" s="267"/>
      <c r="P277" s="267"/>
      <c r="Q277" s="267"/>
      <c r="R277" s="266"/>
      <c r="S277" s="48"/>
      <c r="T277" s="48">
        <f t="shared" si="104"/>
        <v>0</v>
      </c>
    </row>
    <row r="278" spans="1:20" x14ac:dyDescent="0.2">
      <c r="B278" s="43">
        <v>12</v>
      </c>
      <c r="C278" s="155"/>
      <c r="D278" s="265"/>
      <c r="E278" s="266"/>
      <c r="F278" s="265"/>
      <c r="G278" s="43">
        <v>114003</v>
      </c>
      <c r="H278" s="47" t="s">
        <v>243</v>
      </c>
      <c r="I278" s="155"/>
      <c r="J278" s="155"/>
      <c r="K278" s="269">
        <v>0</v>
      </c>
      <c r="L278" s="269">
        <v>0</v>
      </c>
      <c r="M278" s="267"/>
      <c r="N278" s="267"/>
      <c r="O278" s="267"/>
      <c r="P278" s="267"/>
      <c r="Q278" s="267"/>
      <c r="R278" s="266"/>
      <c r="S278" s="48"/>
      <c r="T278" s="48">
        <f t="shared" si="104"/>
        <v>0</v>
      </c>
    </row>
    <row r="279" spans="1:20" x14ac:dyDescent="0.2">
      <c r="B279" s="43">
        <v>13</v>
      </c>
      <c r="C279" s="155"/>
      <c r="D279" s="265"/>
      <c r="E279" s="266"/>
      <c r="F279" s="265"/>
      <c r="G279" s="43">
        <v>114003</v>
      </c>
      <c r="H279" s="47" t="s">
        <v>243</v>
      </c>
      <c r="I279" s="155"/>
      <c r="J279" s="155"/>
      <c r="K279" s="269">
        <v>0</v>
      </c>
      <c r="L279" s="269">
        <v>0</v>
      </c>
      <c r="M279" s="267"/>
      <c r="N279" s="267"/>
      <c r="O279" s="267"/>
      <c r="P279" s="267"/>
      <c r="Q279" s="267"/>
      <c r="R279" s="266"/>
      <c r="S279" s="48"/>
      <c r="T279" s="48">
        <f t="shared" si="104"/>
        <v>0</v>
      </c>
    </row>
    <row r="280" spans="1:20" s="27" customFormat="1" x14ac:dyDescent="0.2">
      <c r="A280" s="28"/>
      <c r="B280" s="43">
        <v>14</v>
      </c>
      <c r="C280" s="155"/>
      <c r="D280" s="265"/>
      <c r="E280" s="266"/>
      <c r="F280" s="265"/>
      <c r="G280" s="43">
        <v>114003</v>
      </c>
      <c r="H280" s="47" t="s">
        <v>243</v>
      </c>
      <c r="I280" s="155"/>
      <c r="J280" s="155"/>
      <c r="K280" s="269">
        <v>0</v>
      </c>
      <c r="L280" s="269">
        <v>0</v>
      </c>
      <c r="M280" s="267"/>
      <c r="N280" s="267"/>
      <c r="O280" s="267"/>
      <c r="P280" s="267"/>
      <c r="Q280" s="267"/>
      <c r="R280" s="266"/>
      <c r="S280" s="48"/>
      <c r="T280" s="48">
        <f t="shared" si="104"/>
        <v>0</v>
      </c>
    </row>
    <row r="281" spans="1:20" s="27" customFormat="1" x14ac:dyDescent="0.2">
      <c r="A281" s="28"/>
      <c r="B281" s="43">
        <v>15</v>
      </c>
      <c r="C281" s="155"/>
      <c r="D281" s="265"/>
      <c r="E281" s="266"/>
      <c r="F281" s="265"/>
      <c r="G281" s="43">
        <v>114003</v>
      </c>
      <c r="H281" s="47" t="s">
        <v>243</v>
      </c>
      <c r="I281" s="155"/>
      <c r="J281" s="155"/>
      <c r="K281" s="269">
        <v>0</v>
      </c>
      <c r="L281" s="269">
        <v>0</v>
      </c>
      <c r="M281" s="267"/>
      <c r="N281" s="267"/>
      <c r="O281" s="267"/>
      <c r="P281" s="267"/>
      <c r="Q281" s="267"/>
      <c r="R281" s="266"/>
      <c r="S281" s="48"/>
      <c r="T281" s="48">
        <f t="shared" si="104"/>
        <v>0</v>
      </c>
    </row>
    <row r="282" spans="1:20" s="26" customFormat="1" x14ac:dyDescent="0.2">
      <c r="A282" s="28"/>
      <c r="B282" s="66" t="s">
        <v>32</v>
      </c>
      <c r="C282" s="67"/>
      <c r="D282" s="68"/>
      <c r="E282" s="92" t="s">
        <v>245</v>
      </c>
      <c r="F282" s="106"/>
      <c r="G282" s="67"/>
      <c r="H282" s="68"/>
      <c r="I282" s="69"/>
      <c r="J282" s="69"/>
      <c r="K282" s="49">
        <f>SUM(K267:K281)</f>
        <v>0</v>
      </c>
      <c r="L282" s="49">
        <f t="shared" ref="L282:T282" si="109">SUM(L267:L281)</f>
        <v>0</v>
      </c>
      <c r="M282" s="238">
        <f t="shared" si="109"/>
        <v>0</v>
      </c>
      <c r="N282" s="238">
        <f t="shared" si="109"/>
        <v>0</v>
      </c>
      <c r="O282" s="238">
        <f t="shared" si="109"/>
        <v>0</v>
      </c>
      <c r="P282" s="238">
        <f t="shared" si="109"/>
        <v>0</v>
      </c>
      <c r="Q282" s="238">
        <f t="shared" si="109"/>
        <v>0</v>
      </c>
      <c r="R282" s="49">
        <f t="shared" si="109"/>
        <v>0</v>
      </c>
      <c r="S282" s="49"/>
      <c r="T282" s="49">
        <f t="shared" si="109"/>
        <v>0</v>
      </c>
    </row>
    <row r="283" spans="1:20" s="26" customFormat="1" x14ac:dyDescent="0.2">
      <c r="A283" s="28"/>
      <c r="B283" s="66" t="s">
        <v>244</v>
      </c>
      <c r="C283" s="67"/>
      <c r="D283" s="68"/>
      <c r="E283" s="92" t="s">
        <v>252</v>
      </c>
      <c r="F283" s="106"/>
      <c r="G283" s="67"/>
      <c r="H283" s="68"/>
      <c r="I283" s="69"/>
      <c r="J283" s="69"/>
      <c r="K283" s="70"/>
      <c r="L283" s="70"/>
      <c r="M283" s="242"/>
      <c r="N283" s="242"/>
      <c r="O283" s="242"/>
      <c r="P283" s="242"/>
      <c r="Q283" s="242"/>
      <c r="R283" s="70"/>
      <c r="S283" s="70"/>
      <c r="T283" s="71"/>
    </row>
    <row r="284" spans="1:20" ht="25.5" x14ac:dyDescent="0.2">
      <c r="B284" s="43">
        <v>1</v>
      </c>
      <c r="C284" s="85">
        <v>11400401</v>
      </c>
      <c r="D284" s="47" t="str">
        <f>+IF(G284="","",VLOOKUP('AFE DETAILED'!C284,'AVERAGE COST'!$B:$D,3,0))</f>
        <v>DAY</v>
      </c>
      <c r="E284" s="48">
        <f>+IF(C284="",0,VLOOKUP(C284,'AVERAGE COST'!$B$3:$E$995,4))</f>
        <v>0</v>
      </c>
      <c r="F284" s="47" t="s">
        <v>253</v>
      </c>
      <c r="G284" s="43">
        <v>114004</v>
      </c>
      <c r="H284" s="47" t="s">
        <v>252</v>
      </c>
      <c r="I284" s="155"/>
      <c r="J284" s="155"/>
      <c r="K284" s="48">
        <v>0</v>
      </c>
      <c r="L284" s="48">
        <v>0</v>
      </c>
      <c r="M284" s="237">
        <f>+IF(M4="n/a",0,(M8+M9)*$E$284)</f>
        <v>0</v>
      </c>
      <c r="N284" s="237">
        <f t="shared" ref="N284:Q284" si="110">+IF(N4="n/a",0,(N8+N9)*$E$284)</f>
        <v>0</v>
      </c>
      <c r="O284" s="237">
        <f t="shared" si="110"/>
        <v>0</v>
      </c>
      <c r="P284" s="237">
        <f t="shared" si="110"/>
        <v>0</v>
      </c>
      <c r="Q284" s="237">
        <f t="shared" si="110"/>
        <v>0</v>
      </c>
      <c r="R284" s="48">
        <v>0</v>
      </c>
      <c r="S284" s="48"/>
      <c r="T284" s="48">
        <f t="shared" ref="T284:T298" si="111">SUM(K284:R284)</f>
        <v>0</v>
      </c>
    </row>
    <row r="285" spans="1:20" ht="25.5" x14ac:dyDescent="0.2">
      <c r="B285" s="43">
        <v>2</v>
      </c>
      <c r="C285" s="85">
        <v>11400402</v>
      </c>
      <c r="D285" s="47" t="str">
        <f>+IF(G285="","",VLOOKUP('AFE DETAILED'!C285,'AVERAGE COST'!$B:$D,3,0))</f>
        <v>DAY</v>
      </c>
      <c r="E285" s="48">
        <f>+IF(C285="",0,VLOOKUP(C285,'AVERAGE COST'!$B$3:$E$995,4))</f>
        <v>0</v>
      </c>
      <c r="F285" s="47" t="s">
        <v>254</v>
      </c>
      <c r="G285" s="43">
        <v>114004</v>
      </c>
      <c r="H285" s="47" t="s">
        <v>252</v>
      </c>
      <c r="I285" s="155"/>
      <c r="J285" s="155"/>
      <c r="K285" s="48">
        <v>0</v>
      </c>
      <c r="L285" s="48">
        <v>0</v>
      </c>
      <c r="M285" s="237">
        <f>+IF(M4="N/A",0,(M8+M9)*$E$285)</f>
        <v>0</v>
      </c>
      <c r="N285" s="237">
        <f t="shared" ref="N285:Q285" si="112">+IF(N4="N/A",0,(N8+N9)*$E$285)</f>
        <v>0</v>
      </c>
      <c r="O285" s="237">
        <f t="shared" si="112"/>
        <v>0</v>
      </c>
      <c r="P285" s="237">
        <f t="shared" si="112"/>
        <v>0</v>
      </c>
      <c r="Q285" s="237">
        <f t="shared" si="112"/>
        <v>0</v>
      </c>
      <c r="R285" s="48">
        <v>0</v>
      </c>
      <c r="S285" s="48"/>
      <c r="T285" s="48">
        <f t="shared" si="111"/>
        <v>0</v>
      </c>
    </row>
    <row r="286" spans="1:20" ht="25.5" x14ac:dyDescent="0.2">
      <c r="B286" s="43">
        <v>3</v>
      </c>
      <c r="C286" s="85">
        <v>11400403</v>
      </c>
      <c r="D286" s="47" t="str">
        <f>+IF(G286="","",VLOOKUP('AFE DETAILED'!C286,'AVERAGE COST'!$B:$D,3,0))</f>
        <v>DAY</v>
      </c>
      <c r="E286" s="48">
        <f>+IF(C286="",0,VLOOKUP(C286,'AVERAGE COST'!$B$3:$E$995,4))</f>
        <v>0</v>
      </c>
      <c r="F286" s="47" t="s">
        <v>471</v>
      </c>
      <c r="G286" s="43">
        <v>114004</v>
      </c>
      <c r="H286" s="47" t="s">
        <v>252</v>
      </c>
      <c r="I286" s="155"/>
      <c r="J286" s="155"/>
      <c r="K286" s="48">
        <v>0</v>
      </c>
      <c r="L286" s="48">
        <v>0</v>
      </c>
      <c r="M286" s="237">
        <f>+IF(M4="N/A",0,$E$286*'INITIAL DATA'!C73)</f>
        <v>0</v>
      </c>
      <c r="N286" s="237">
        <f>+IF(N4="N/A",0,$E$286*'INITIAL DATA'!D73)</f>
        <v>0</v>
      </c>
      <c r="O286" s="237">
        <f>+IF(O4="N/A",0,$E$286*'INITIAL DATA'!E73)</f>
        <v>0</v>
      </c>
      <c r="P286" s="237">
        <f>+IF(P4="N/A",0,$E$286*'INITIAL DATA'!F73)</f>
        <v>0</v>
      </c>
      <c r="Q286" s="237">
        <f>+IF(Q4="N/A",0,$E$286*'INITIAL DATA'!G73)</f>
        <v>0</v>
      </c>
      <c r="R286" s="48">
        <v>0</v>
      </c>
      <c r="S286" s="48"/>
      <c r="T286" s="48">
        <f t="shared" si="111"/>
        <v>0</v>
      </c>
    </row>
    <row r="287" spans="1:20" ht="25.5" x14ac:dyDescent="0.2">
      <c r="B287" s="43">
        <v>4</v>
      </c>
      <c r="C287" s="85">
        <v>11400404</v>
      </c>
      <c r="D287" s="47" t="str">
        <f>+IF(G287="","",VLOOKUP('AFE DETAILED'!C287,'AVERAGE COST'!$B:$D,3,0))</f>
        <v>DAY</v>
      </c>
      <c r="E287" s="48">
        <f>+IF(C287="",0,VLOOKUP(C287,'AVERAGE COST'!$B$3:$E$995,4))</f>
        <v>0</v>
      </c>
      <c r="F287" s="47" t="s">
        <v>472</v>
      </c>
      <c r="G287" s="43">
        <v>114004</v>
      </c>
      <c r="H287" s="47" t="s">
        <v>252</v>
      </c>
      <c r="I287" s="155"/>
      <c r="J287" s="155"/>
      <c r="K287" s="48">
        <v>0</v>
      </c>
      <c r="L287" s="48">
        <v>0</v>
      </c>
      <c r="M287" s="237">
        <f>+IF(M4="N/A",0,$E$287*'INITIAL DATA'!C74)</f>
        <v>0</v>
      </c>
      <c r="N287" s="237">
        <f>+IF(N4="N/A",0,$E$287*'INITIAL DATA'!D74)</f>
        <v>0</v>
      </c>
      <c r="O287" s="237">
        <f>+IF(O4="N/A",0,$E$287*'INITIAL DATA'!E74)</f>
        <v>0</v>
      </c>
      <c r="P287" s="237">
        <f>+IF(P4="N/A",0,$E$287*'INITIAL DATA'!F74)</f>
        <v>0</v>
      </c>
      <c r="Q287" s="237">
        <f>+IF(Q4="N/A",0,$E$287*'INITIAL DATA'!G74)</f>
        <v>0</v>
      </c>
      <c r="R287" s="48">
        <v>0</v>
      </c>
      <c r="S287" s="48"/>
      <c r="T287" s="48">
        <f t="shared" si="111"/>
        <v>0</v>
      </c>
    </row>
    <row r="288" spans="1:20" ht="25.5" x14ac:dyDescent="0.2">
      <c r="B288" s="43">
        <v>5</v>
      </c>
      <c r="C288" s="85">
        <v>11400405</v>
      </c>
      <c r="D288" s="47" t="str">
        <f>+IF(G288="","",VLOOKUP('AFE DETAILED'!C288,'AVERAGE COST'!$B:$D,3,0))</f>
        <v>GLOBAL</v>
      </c>
      <c r="E288" s="48">
        <f>+IF(C288="",0,VLOOKUP(C288,'AVERAGE COST'!$B$3:$E$995,4))</f>
        <v>0</v>
      </c>
      <c r="F288" s="47" t="s">
        <v>203</v>
      </c>
      <c r="G288" s="43">
        <v>114004</v>
      </c>
      <c r="H288" s="47" t="s">
        <v>252</v>
      </c>
      <c r="I288" s="155"/>
      <c r="J288" s="155"/>
      <c r="K288" s="48">
        <v>0</v>
      </c>
      <c r="L288" s="48">
        <v>0</v>
      </c>
      <c r="M288" s="237">
        <f>+IF(M4="n/a",0,IF(M285=0,0,$E$288))</f>
        <v>0</v>
      </c>
      <c r="N288" s="237">
        <v>0</v>
      </c>
      <c r="O288" s="237">
        <v>0</v>
      </c>
      <c r="P288" s="237">
        <v>0</v>
      </c>
      <c r="Q288" s="237">
        <v>0</v>
      </c>
      <c r="R288" s="48">
        <v>0</v>
      </c>
      <c r="S288" s="48"/>
      <c r="T288" s="48">
        <f t="shared" si="111"/>
        <v>0</v>
      </c>
    </row>
    <row r="289" spans="1:20" ht="25.5" x14ac:dyDescent="0.2">
      <c r="B289" s="43">
        <v>6</v>
      </c>
      <c r="C289" s="85">
        <v>11400406</v>
      </c>
      <c r="D289" s="47" t="str">
        <f>+IF(G289="","",VLOOKUP('AFE DETAILED'!C289,'AVERAGE COST'!$B:$D,3,0))</f>
        <v>DAY</v>
      </c>
      <c r="E289" s="48">
        <f>+IF(C289="",0,VLOOKUP(C289,'AVERAGE COST'!$B$3:$E$995,4))</f>
        <v>0</v>
      </c>
      <c r="F289" s="47" t="s">
        <v>237</v>
      </c>
      <c r="G289" s="43">
        <v>114004</v>
      </c>
      <c r="H289" s="47" t="s">
        <v>252</v>
      </c>
      <c r="I289" s="155"/>
      <c r="J289" s="155"/>
      <c r="K289" s="48">
        <v>0</v>
      </c>
      <c r="L289" s="48">
        <v>0</v>
      </c>
      <c r="M289" s="237">
        <f>+IF(M4="n/a",0,IF(M285=0,0,$E$289*(M8+M9)))</f>
        <v>0</v>
      </c>
      <c r="N289" s="237">
        <f t="shared" ref="N289:Q289" si="113">+IF(N4="n/a",0,IF(N285=0,0,$E$289*(N8+N9)))</f>
        <v>0</v>
      </c>
      <c r="O289" s="237">
        <f t="shared" si="113"/>
        <v>0</v>
      </c>
      <c r="P289" s="237">
        <f t="shared" si="113"/>
        <v>0</v>
      </c>
      <c r="Q289" s="237">
        <f t="shared" si="113"/>
        <v>0</v>
      </c>
      <c r="R289" s="48">
        <v>0</v>
      </c>
      <c r="S289" s="48"/>
      <c r="T289" s="48">
        <f t="shared" si="111"/>
        <v>0</v>
      </c>
    </row>
    <row r="290" spans="1:20" ht="25.5" x14ac:dyDescent="0.2">
      <c r="B290" s="43">
        <v>7</v>
      </c>
      <c r="C290" s="85">
        <v>11400407</v>
      </c>
      <c r="D290" s="47" t="str">
        <f>+IF(G290="","",VLOOKUP('AFE DETAILED'!C290,'AVERAGE COST'!$B:$D,3,0))</f>
        <v>DAY</v>
      </c>
      <c r="E290" s="48">
        <f>+IF(C290="",0,VLOOKUP(C290,'AVERAGE COST'!$B$3:$E$995,4))</f>
        <v>0</v>
      </c>
      <c r="F290" s="47" t="s">
        <v>473</v>
      </c>
      <c r="G290" s="43">
        <v>114004</v>
      </c>
      <c r="H290" s="47" t="s">
        <v>252</v>
      </c>
      <c r="I290" s="155"/>
      <c r="J290" s="155"/>
      <c r="K290" s="48">
        <v>0</v>
      </c>
      <c r="L290" s="48">
        <v>0</v>
      </c>
      <c r="M290" s="237">
        <f>+IF(M4="n/a",0,IF(M285=0,0,$E$290))</f>
        <v>0</v>
      </c>
      <c r="N290" s="237">
        <f>+IF(N4="N/A",0,IF(N285=0,0,IF(O285=0,$E$290,0)))</f>
        <v>0</v>
      </c>
      <c r="O290" s="237">
        <f>+IF(O4="N/A",0,IF(O285=0,0,IF(P285=0,$E$290,0)))</f>
        <v>0</v>
      </c>
      <c r="P290" s="237">
        <f>+IF(P4="N/A",0,IF(P285=0,0,IF(Q285=0,$E$290,0)))</f>
        <v>0</v>
      </c>
      <c r="Q290" s="237">
        <f>+IF(Q4="N/A",0,IF(Q285=0,0,IF(R285=0,$E$290,0)))</f>
        <v>0</v>
      </c>
      <c r="R290" s="48">
        <v>0</v>
      </c>
      <c r="S290" s="48"/>
      <c r="T290" s="48">
        <f t="shared" si="111"/>
        <v>0</v>
      </c>
    </row>
    <row r="291" spans="1:20" s="27" customFormat="1" ht="25.5" x14ac:dyDescent="0.2">
      <c r="A291" s="28"/>
      <c r="B291" s="43">
        <v>8</v>
      </c>
      <c r="C291" s="85">
        <v>11400408</v>
      </c>
      <c r="D291" s="47" t="str">
        <f>+IF(G291="","",VLOOKUP('AFE DETAILED'!C291,'AVERAGE COST'!$B:$D,3,0))</f>
        <v>UNIT</v>
      </c>
      <c r="E291" s="48">
        <f>+IF(C291="",0,VLOOKUP(C291,'AVERAGE COST'!$B$3:$E$995,4))</f>
        <v>0</v>
      </c>
      <c r="F291" s="47" t="s">
        <v>255</v>
      </c>
      <c r="G291" s="43">
        <v>114004</v>
      </c>
      <c r="H291" s="47" t="s">
        <v>252</v>
      </c>
      <c r="I291" s="155"/>
      <c r="J291" s="155"/>
      <c r="K291" s="48">
        <v>0</v>
      </c>
      <c r="L291" s="48">
        <v>0</v>
      </c>
      <c r="M291" s="237">
        <f>+IF(M4="n/a",0,IF(M285=0,0,$E$291*(ROUNDUP((M8+M9)/5,0))))</f>
        <v>0</v>
      </c>
      <c r="N291" s="237">
        <f t="shared" ref="N291:Q291" si="114">+IF(N4="n/a",0,IF(N285=0,0,$E$291*(ROUNDUP((N8+N9)/5,0))))</f>
        <v>0</v>
      </c>
      <c r="O291" s="237">
        <f t="shared" si="114"/>
        <v>0</v>
      </c>
      <c r="P291" s="237">
        <f t="shared" si="114"/>
        <v>0</v>
      </c>
      <c r="Q291" s="237">
        <f t="shared" si="114"/>
        <v>0</v>
      </c>
      <c r="R291" s="48">
        <v>0</v>
      </c>
      <c r="S291" s="48"/>
      <c r="T291" s="48">
        <f t="shared" si="111"/>
        <v>0</v>
      </c>
    </row>
    <row r="292" spans="1:20" s="26" customFormat="1" x14ac:dyDescent="0.2">
      <c r="A292" s="28"/>
      <c r="B292" s="66" t="s">
        <v>32</v>
      </c>
      <c r="C292" s="67"/>
      <c r="D292" s="68"/>
      <c r="E292" s="92" t="s">
        <v>256</v>
      </c>
      <c r="F292" s="106"/>
      <c r="G292" s="67"/>
      <c r="H292" s="68"/>
      <c r="I292" s="69"/>
      <c r="J292" s="69"/>
      <c r="K292" s="49">
        <f>SUM(K284:K291)</f>
        <v>0</v>
      </c>
      <c r="L292" s="49">
        <f t="shared" ref="L292:T292" si="115">SUM(L284:L291)</f>
        <v>0</v>
      </c>
      <c r="M292" s="238">
        <f t="shared" si="115"/>
        <v>0</v>
      </c>
      <c r="N292" s="238">
        <f t="shared" si="115"/>
        <v>0</v>
      </c>
      <c r="O292" s="238">
        <f t="shared" si="115"/>
        <v>0</v>
      </c>
      <c r="P292" s="238">
        <f t="shared" si="115"/>
        <v>0</v>
      </c>
      <c r="Q292" s="238">
        <f t="shared" si="115"/>
        <v>0</v>
      </c>
      <c r="R292" s="49">
        <f t="shared" si="115"/>
        <v>0</v>
      </c>
      <c r="S292" s="49"/>
      <c r="T292" s="49">
        <f t="shared" si="115"/>
        <v>0</v>
      </c>
    </row>
    <row r="293" spans="1:20" s="26" customFormat="1" x14ac:dyDescent="0.2">
      <c r="A293" s="28"/>
      <c r="B293" s="66" t="s">
        <v>258</v>
      </c>
      <c r="C293" s="67"/>
      <c r="D293" s="68"/>
      <c r="E293" s="92" t="s">
        <v>257</v>
      </c>
      <c r="F293" s="106"/>
      <c r="G293" s="67"/>
      <c r="H293" s="68"/>
      <c r="I293" s="69"/>
      <c r="J293" s="69"/>
      <c r="K293" s="70"/>
      <c r="L293" s="70"/>
      <c r="M293" s="242"/>
      <c r="N293" s="242"/>
      <c r="O293" s="242"/>
      <c r="P293" s="242"/>
      <c r="Q293" s="242"/>
      <c r="R293" s="70"/>
      <c r="S293" s="70"/>
      <c r="T293" s="71"/>
    </row>
    <row r="294" spans="1:20" x14ac:dyDescent="0.2">
      <c r="B294" s="43">
        <v>1</v>
      </c>
      <c r="C294" s="85">
        <v>11400501</v>
      </c>
      <c r="D294" s="47" t="str">
        <f>+IF(G294="","",VLOOKUP('AFE DETAILED'!C294,'AVERAGE COST'!$B:$D,3,0))</f>
        <v>UNIT</v>
      </c>
      <c r="E294" s="48">
        <f>+IF(C294="",0,VLOOKUP(C294,'AVERAGE COST'!$B$3:$E$995,4))</f>
        <v>0</v>
      </c>
      <c r="F294" s="47" t="s">
        <v>96</v>
      </c>
      <c r="G294" s="43">
        <v>114005</v>
      </c>
      <c r="H294" s="47" t="s">
        <v>261</v>
      </c>
      <c r="I294" s="155"/>
      <c r="J294" s="155"/>
      <c r="K294" s="48">
        <v>0</v>
      </c>
      <c r="L294" s="48">
        <v>0</v>
      </c>
      <c r="M294" s="237">
        <v>0</v>
      </c>
      <c r="N294" s="237">
        <v>0</v>
      </c>
      <c r="O294" s="237">
        <v>0</v>
      </c>
      <c r="P294" s="237">
        <v>0</v>
      </c>
      <c r="Q294" s="237">
        <v>0</v>
      </c>
      <c r="R294" s="48">
        <v>0</v>
      </c>
      <c r="S294" s="48"/>
      <c r="T294" s="48">
        <f t="shared" si="111"/>
        <v>0</v>
      </c>
    </row>
    <row r="295" spans="1:20" x14ac:dyDescent="0.2">
      <c r="B295" s="43">
        <v>2</v>
      </c>
      <c r="C295" s="85">
        <v>11400502</v>
      </c>
      <c r="D295" s="47" t="str">
        <f>+IF(G295="","",VLOOKUP('AFE DETAILED'!C295,'AVERAGE COST'!$B:$D,3,0))</f>
        <v>GLOBAL</v>
      </c>
      <c r="E295" s="48">
        <f>+IF(C295="",0,VLOOKUP(C295,'AVERAGE COST'!$B$3:$E$995,4))</f>
        <v>0</v>
      </c>
      <c r="F295" s="47" t="s">
        <v>262</v>
      </c>
      <c r="G295" s="43">
        <v>114005</v>
      </c>
      <c r="H295" s="47" t="s">
        <v>261</v>
      </c>
      <c r="I295" s="155"/>
      <c r="J295" s="155"/>
      <c r="K295" s="48">
        <v>0</v>
      </c>
      <c r="L295" s="48">
        <v>0</v>
      </c>
      <c r="M295" s="237">
        <f>+IF(M4="n/a",0,IF('INITIAL DATA'!C75="yes",'AFE DETAILED'!$E$295,0))</f>
        <v>0</v>
      </c>
      <c r="N295" s="237">
        <f>+IF(N4="n/a",0,IF('INITIAL DATA'!D75="yes",'AFE DETAILED'!$E$295,0))</f>
        <v>0</v>
      </c>
      <c r="O295" s="237">
        <f>+IF(O4="n/a",0,IF('INITIAL DATA'!E75="yes",'AFE DETAILED'!$E$295,0))</f>
        <v>0</v>
      </c>
      <c r="P295" s="237">
        <f>+IF(P4="n/a",0,IF('INITIAL DATA'!F75="yes",'AFE DETAILED'!$E$295,0))</f>
        <v>0</v>
      </c>
      <c r="Q295" s="237">
        <f>+IF(Q4="n/a",0,IF('INITIAL DATA'!G75="yes",'AFE DETAILED'!$E$295,0))</f>
        <v>0</v>
      </c>
      <c r="R295" s="48">
        <v>0</v>
      </c>
      <c r="S295" s="48"/>
      <c r="T295" s="48">
        <f t="shared" si="111"/>
        <v>0</v>
      </c>
    </row>
    <row r="296" spans="1:20" x14ac:dyDescent="0.2">
      <c r="B296" s="43">
        <v>3</v>
      </c>
      <c r="C296" s="85">
        <v>11400503</v>
      </c>
      <c r="D296" s="47" t="str">
        <f>+IF(G296="","",VLOOKUP('AFE DETAILED'!C296,'AVERAGE COST'!$B:$D,3,0))</f>
        <v>GLOBAL</v>
      </c>
      <c r="E296" s="48">
        <f>+IF(C296="",0,VLOOKUP(C296,'AVERAGE COST'!$B$3:$E$995,4))</f>
        <v>0</v>
      </c>
      <c r="F296" s="47" t="s">
        <v>203</v>
      </c>
      <c r="G296" s="43">
        <v>114005</v>
      </c>
      <c r="H296" s="47" t="s">
        <v>261</v>
      </c>
      <c r="I296" s="155"/>
      <c r="J296" s="155"/>
      <c r="K296" s="48">
        <v>0</v>
      </c>
      <c r="L296" s="48">
        <v>0</v>
      </c>
      <c r="M296" s="237">
        <f>+IF(M4="n/a",0,IF(M295=0,0,$E$296))</f>
        <v>0</v>
      </c>
      <c r="N296" s="237">
        <f>+IF(N4="n/a",0,IF(M296=0,IF(N295=0,0,$E$296),0))</f>
        <v>0</v>
      </c>
      <c r="O296" s="237">
        <f>+IF(O4="n/a",0,IF(AND(N296=0,M296=0),IF(O295=0,0,$E$296),0))</f>
        <v>0</v>
      </c>
      <c r="P296" s="237">
        <f>+IF(P4="n/a",0,IF(AND(N296=0,M296=0,O296=0),IF(P295=0,0,$E$296),0))</f>
        <v>0</v>
      </c>
      <c r="Q296" s="237">
        <f>+IF(Q4="n/a",0,IF(AND(N296=0,M296=0,O296=0,P296=0),IF(Q295=0,0,$E$296),0))</f>
        <v>0</v>
      </c>
      <c r="R296" s="48">
        <v>0</v>
      </c>
      <c r="S296" s="48"/>
      <c r="T296" s="48">
        <f t="shared" si="111"/>
        <v>0</v>
      </c>
    </row>
    <row r="297" spans="1:20" x14ac:dyDescent="0.2">
      <c r="B297" s="43">
        <v>4</v>
      </c>
      <c r="C297" s="85">
        <v>11400504</v>
      </c>
      <c r="D297" s="47" t="str">
        <f>+IF(G297="","",VLOOKUP('AFE DETAILED'!C297,'AVERAGE COST'!$B:$D,3,0))</f>
        <v>DAY</v>
      </c>
      <c r="E297" s="48">
        <f>+IF(C297="",0,VLOOKUP(C297,'AVERAGE COST'!$B$3:$E$995,4))</f>
        <v>0</v>
      </c>
      <c r="F297" s="47" t="s">
        <v>237</v>
      </c>
      <c r="G297" s="43">
        <v>114005</v>
      </c>
      <c r="H297" s="47" t="s">
        <v>261</v>
      </c>
      <c r="I297" s="155"/>
      <c r="J297" s="155"/>
      <c r="K297" s="48">
        <v>0</v>
      </c>
      <c r="L297" s="48">
        <v>0</v>
      </c>
      <c r="M297" s="237">
        <f>+IF(M4="n/a",0,IF(M295=0,0,$E$297*(M9)))</f>
        <v>0</v>
      </c>
      <c r="N297" s="237">
        <f t="shared" ref="N297:Q297" si="116">+IF(N4="n/a",0,IF(N295=0,0,$E$297*(N9)))</f>
        <v>0</v>
      </c>
      <c r="O297" s="237">
        <f t="shared" si="116"/>
        <v>0</v>
      </c>
      <c r="P297" s="237">
        <f t="shared" si="116"/>
        <v>0</v>
      </c>
      <c r="Q297" s="237">
        <f t="shared" si="116"/>
        <v>0</v>
      </c>
      <c r="R297" s="48">
        <v>0</v>
      </c>
      <c r="S297" s="48"/>
      <c r="T297" s="48">
        <f t="shared" si="111"/>
        <v>0</v>
      </c>
    </row>
    <row r="298" spans="1:20" x14ac:dyDescent="0.2">
      <c r="B298" s="43">
        <v>5</v>
      </c>
      <c r="C298" s="85">
        <v>11400505</v>
      </c>
      <c r="D298" s="47" t="str">
        <f>+IF(G298="","",VLOOKUP('AFE DETAILED'!C298,'AVERAGE COST'!$B:$D,3,0))</f>
        <v>GLOBAL</v>
      </c>
      <c r="E298" s="48">
        <f>+IF(C298="",0,VLOOKUP(C298,'AVERAGE COST'!$B$3:$E$995,4))</f>
        <v>0</v>
      </c>
      <c r="F298" s="47" t="s">
        <v>98</v>
      </c>
      <c r="G298" s="43">
        <v>114005</v>
      </c>
      <c r="H298" s="47" t="s">
        <v>261</v>
      </c>
      <c r="I298" s="155"/>
      <c r="J298" s="155"/>
      <c r="K298" s="48">
        <v>0</v>
      </c>
      <c r="L298" s="48">
        <v>0</v>
      </c>
      <c r="M298" s="237">
        <v>0</v>
      </c>
      <c r="N298" s="237">
        <v>0</v>
      </c>
      <c r="O298" s="237">
        <v>0</v>
      </c>
      <c r="P298" s="237">
        <v>0</v>
      </c>
      <c r="Q298" s="237">
        <v>0</v>
      </c>
      <c r="R298" s="48">
        <v>0</v>
      </c>
      <c r="S298" s="48"/>
      <c r="T298" s="48">
        <f t="shared" si="111"/>
        <v>0</v>
      </c>
    </row>
    <row r="299" spans="1:20" s="26" customFormat="1" x14ac:dyDescent="0.2">
      <c r="A299" s="28"/>
      <c r="B299" s="66" t="s">
        <v>32</v>
      </c>
      <c r="C299" s="67"/>
      <c r="D299" s="68"/>
      <c r="E299" s="92" t="s">
        <v>260</v>
      </c>
      <c r="F299" s="106"/>
      <c r="G299" s="67"/>
      <c r="H299" s="68"/>
      <c r="I299" s="69"/>
      <c r="J299" s="69"/>
      <c r="K299" s="49">
        <f>SUM(K294:K298)</f>
        <v>0</v>
      </c>
      <c r="L299" s="49">
        <f t="shared" ref="L299:T299" si="117">SUM(L294:L298)</f>
        <v>0</v>
      </c>
      <c r="M299" s="238">
        <f t="shared" si="117"/>
        <v>0</v>
      </c>
      <c r="N299" s="238">
        <f t="shared" si="117"/>
        <v>0</v>
      </c>
      <c r="O299" s="238">
        <f t="shared" si="117"/>
        <v>0</v>
      </c>
      <c r="P299" s="238">
        <f t="shared" si="117"/>
        <v>0</v>
      </c>
      <c r="Q299" s="238">
        <f t="shared" si="117"/>
        <v>0</v>
      </c>
      <c r="R299" s="49">
        <f t="shared" si="117"/>
        <v>0</v>
      </c>
      <c r="S299" s="49"/>
      <c r="T299" s="49">
        <f t="shared" si="117"/>
        <v>0</v>
      </c>
    </row>
    <row r="300" spans="1:20" s="26" customFormat="1" x14ac:dyDescent="0.2">
      <c r="A300" s="28"/>
      <c r="B300" s="66" t="s">
        <v>259</v>
      </c>
      <c r="C300" s="67"/>
      <c r="D300" s="68"/>
      <c r="E300" s="92" t="s">
        <v>263</v>
      </c>
      <c r="F300" s="106"/>
      <c r="G300" s="67"/>
      <c r="H300" s="68"/>
      <c r="I300" s="69"/>
      <c r="J300" s="69"/>
      <c r="K300" s="70"/>
      <c r="L300" s="70"/>
      <c r="M300" s="242"/>
      <c r="N300" s="242"/>
      <c r="O300" s="242"/>
      <c r="P300" s="242"/>
      <c r="Q300" s="242"/>
      <c r="R300" s="70"/>
      <c r="S300" s="70"/>
      <c r="T300" s="71"/>
    </row>
    <row r="301" spans="1:20" x14ac:dyDescent="0.2">
      <c r="B301" s="43">
        <v>1</v>
      </c>
      <c r="C301" s="85">
        <v>11400601</v>
      </c>
      <c r="D301" s="47" t="str">
        <f>+IF(G301="","",VLOOKUP('AFE DETAILED'!C301,'AVERAGE COST'!$B:$D,3,0))</f>
        <v>UNIT</v>
      </c>
      <c r="E301" s="48">
        <f>+IF(C301="",0,VLOOKUP(C301,'AVERAGE COST'!$B$3:$E$995,4))</f>
        <v>0</v>
      </c>
      <c r="F301" s="47" t="s">
        <v>96</v>
      </c>
      <c r="G301" s="43">
        <v>114006</v>
      </c>
      <c r="H301" s="47" t="s">
        <v>268</v>
      </c>
      <c r="I301" s="155"/>
      <c r="J301" s="155"/>
      <c r="K301" s="48">
        <v>0</v>
      </c>
      <c r="L301" s="48">
        <v>0</v>
      </c>
      <c r="M301" s="237">
        <v>0</v>
      </c>
      <c r="N301" s="237">
        <v>0</v>
      </c>
      <c r="O301" s="237">
        <v>0</v>
      </c>
      <c r="P301" s="237">
        <v>0</v>
      </c>
      <c r="Q301" s="237">
        <v>0</v>
      </c>
      <c r="R301" s="48">
        <v>0</v>
      </c>
      <c r="S301" s="48"/>
      <c r="T301" s="48">
        <f t="shared" ref="T301:T306" si="118">SUM(K301:R301)</f>
        <v>0</v>
      </c>
    </row>
    <row r="302" spans="1:20" x14ac:dyDescent="0.2">
      <c r="B302" s="43">
        <v>2</v>
      </c>
      <c r="C302" s="85">
        <v>11400602</v>
      </c>
      <c r="D302" s="47" t="str">
        <f>+IF(G302="","",VLOOKUP('AFE DETAILED'!C302,'AVERAGE COST'!$B:$D,3,0))</f>
        <v>GLOBAL</v>
      </c>
      <c r="E302" s="48">
        <f>+IF(C302="",0,VLOOKUP(C302,'AVERAGE COST'!$B$3:$E$995,4))</f>
        <v>0</v>
      </c>
      <c r="F302" s="47" t="s">
        <v>203</v>
      </c>
      <c r="G302" s="43">
        <v>114006</v>
      </c>
      <c r="H302" s="47" t="s">
        <v>268</v>
      </c>
      <c r="I302" s="155"/>
      <c r="J302" s="155"/>
      <c r="K302" s="48">
        <v>0</v>
      </c>
      <c r="L302" s="48">
        <v>0</v>
      </c>
      <c r="M302" s="237">
        <f>+IF(M4="n/a",0,IF(M305=0,0,$E$302))</f>
        <v>0</v>
      </c>
      <c r="N302" s="237">
        <f>+IF(N4="n/a",0,IF(M302=0,IF(N305=0,0,$E$302),0))</f>
        <v>0</v>
      </c>
      <c r="O302" s="237">
        <f>+IF(O4="n/a",0,IF(AND(N302=0,M302=0),IF(O305=0,0,$E$302),0))</f>
        <v>0</v>
      </c>
      <c r="P302" s="237">
        <f>+IF(P4="n/a",0,IF(AND(N302=0,M302=0,O302=0),IF(P305=0,0,$E$302),0))</f>
        <v>0</v>
      </c>
      <c r="Q302" s="237">
        <f>+IF(Q4="n/a",0,IF(AND(N302=0,M302=0,O302=0,P302=0),IF(Q305=0,0,$E$302),0))</f>
        <v>0</v>
      </c>
      <c r="R302" s="48">
        <v>0</v>
      </c>
      <c r="S302" s="48"/>
      <c r="T302" s="48">
        <f t="shared" si="118"/>
        <v>0</v>
      </c>
    </row>
    <row r="303" spans="1:20" x14ac:dyDescent="0.2">
      <c r="B303" s="43">
        <v>3</v>
      </c>
      <c r="C303" s="85">
        <v>11400603</v>
      </c>
      <c r="D303" s="47" t="str">
        <f>+IF(G303="","",VLOOKUP('AFE DETAILED'!C303,'AVERAGE COST'!$B:$D,3,0))</f>
        <v>GLOBAL</v>
      </c>
      <c r="E303" s="48">
        <f>+IF(C303="",0,VLOOKUP(C303,'AVERAGE COST'!$B$3:$E$995,4))</f>
        <v>0</v>
      </c>
      <c r="F303" s="47" t="s">
        <v>98</v>
      </c>
      <c r="G303" s="43">
        <v>114006</v>
      </c>
      <c r="H303" s="47" t="s">
        <v>268</v>
      </c>
      <c r="I303" s="155"/>
      <c r="J303" s="155"/>
      <c r="K303" s="48">
        <v>0</v>
      </c>
      <c r="L303" s="48">
        <v>0</v>
      </c>
      <c r="M303" s="237">
        <v>0</v>
      </c>
      <c r="N303" s="237">
        <v>0</v>
      </c>
      <c r="O303" s="237">
        <v>0</v>
      </c>
      <c r="P303" s="237">
        <v>0</v>
      </c>
      <c r="Q303" s="237">
        <v>0</v>
      </c>
      <c r="R303" s="48">
        <v>0</v>
      </c>
      <c r="S303" s="48"/>
      <c r="T303" s="48">
        <f t="shared" si="118"/>
        <v>0</v>
      </c>
    </row>
    <row r="304" spans="1:20" x14ac:dyDescent="0.2">
      <c r="B304" s="43">
        <v>4</v>
      </c>
      <c r="C304" s="85">
        <v>11400604</v>
      </c>
      <c r="D304" s="47" t="str">
        <f>+IF(G304="","",VLOOKUP('AFE DETAILED'!C304,'AVERAGE COST'!$B:$D,3,0))</f>
        <v>DAY</v>
      </c>
      <c r="E304" s="48">
        <f>+IF(C304="",0,VLOOKUP(C304,'AVERAGE COST'!$B$3:$E$995,4))</f>
        <v>0</v>
      </c>
      <c r="F304" s="47" t="s">
        <v>237</v>
      </c>
      <c r="G304" s="43">
        <v>114006</v>
      </c>
      <c r="H304" s="47" t="s">
        <v>268</v>
      </c>
      <c r="I304" s="155"/>
      <c r="J304" s="155"/>
      <c r="K304" s="48">
        <v>0</v>
      </c>
      <c r="L304" s="48">
        <v>0</v>
      </c>
      <c r="M304" s="237">
        <f>+IF(M4="n/a",0,IF(M305=0,0,$E$304*(M8+M9)))</f>
        <v>0</v>
      </c>
      <c r="N304" s="237">
        <f t="shared" ref="N304:R304" si="119">+IF(N4="n/a",0,IF(N305=0,0,$E$304*(N8+N9)))</f>
        <v>0</v>
      </c>
      <c r="O304" s="237">
        <f t="shared" si="119"/>
        <v>0</v>
      </c>
      <c r="P304" s="237">
        <f t="shared" si="119"/>
        <v>0</v>
      </c>
      <c r="Q304" s="237">
        <f t="shared" si="119"/>
        <v>0</v>
      </c>
      <c r="R304" s="48">
        <f t="shared" si="119"/>
        <v>0</v>
      </c>
      <c r="S304" s="48"/>
      <c r="T304" s="48">
        <f t="shared" si="118"/>
        <v>0</v>
      </c>
    </row>
    <row r="305" spans="1:20" x14ac:dyDescent="0.2">
      <c r="B305" s="43">
        <v>5</v>
      </c>
      <c r="C305" s="85">
        <v>11400605</v>
      </c>
      <c r="D305" s="47" t="str">
        <f>+IF(G305="","",VLOOKUP('AFE DETAILED'!C305,'AVERAGE COST'!$B:$D,3,0))</f>
        <v>DAY</v>
      </c>
      <c r="E305" s="48">
        <f>+IF(C305="",0,VLOOKUP(C305,'AVERAGE COST'!$B$3:$E$995,4))</f>
        <v>0</v>
      </c>
      <c r="F305" s="47" t="s">
        <v>266</v>
      </c>
      <c r="G305" s="43">
        <v>114006</v>
      </c>
      <c r="H305" s="47" t="s">
        <v>268</v>
      </c>
      <c r="I305" s="155"/>
      <c r="J305" s="155"/>
      <c r="K305" s="48">
        <v>0</v>
      </c>
      <c r="L305" s="48">
        <v>0</v>
      </c>
      <c r="M305" s="237">
        <f>+IF(M4="n/a",0,IF('INITIAL DATA'!C76="YES",'AFE DETAILED'!$E$305*'AFE DETAILED'!M8,0))</f>
        <v>0</v>
      </c>
      <c r="N305" s="237">
        <f>+IF(N4="n/a",0,IF('INITIAL DATA'!D76="YES",'AFE DETAILED'!$E$305*'AFE DETAILED'!N8,0))</f>
        <v>0</v>
      </c>
      <c r="O305" s="237">
        <f>+IF(O4="n/a",0,IF('INITIAL DATA'!E76="YES",'AFE DETAILED'!$E$305*'AFE DETAILED'!O8,0))</f>
        <v>0</v>
      </c>
      <c r="P305" s="237">
        <f>+IF(P4="n/a",0,IF('INITIAL DATA'!F76="YES",'AFE DETAILED'!$E$305*'AFE DETAILED'!P8,0))</f>
        <v>0</v>
      </c>
      <c r="Q305" s="237">
        <f>+IF(Q4="n/a",0,IF('INITIAL DATA'!G76="YES",'AFE DETAILED'!$E$305*'AFE DETAILED'!Q8,0))</f>
        <v>0</v>
      </c>
      <c r="R305" s="48">
        <v>0</v>
      </c>
      <c r="S305" s="48"/>
      <c r="T305" s="48">
        <f t="shared" si="118"/>
        <v>0</v>
      </c>
    </row>
    <row r="306" spans="1:20" x14ac:dyDescent="0.2">
      <c r="B306" s="43">
        <v>6</v>
      </c>
      <c r="C306" s="85">
        <v>11400606</v>
      </c>
      <c r="D306" s="47" t="str">
        <f>+IF(G306="","",VLOOKUP('AFE DETAILED'!C306,'AVERAGE COST'!$B:$D,3,0))</f>
        <v>DAY</v>
      </c>
      <c r="E306" s="48">
        <f>+IF(C306="",0,VLOOKUP(C306,'AVERAGE COST'!$B$3:$E$995,4))</f>
        <v>0</v>
      </c>
      <c r="F306" s="47" t="s">
        <v>267</v>
      </c>
      <c r="G306" s="43">
        <v>114006</v>
      </c>
      <c r="H306" s="47" t="s">
        <v>268</v>
      </c>
      <c r="I306" s="155"/>
      <c r="J306" s="155"/>
      <c r="K306" s="48">
        <v>0</v>
      </c>
      <c r="L306" s="48">
        <v>0</v>
      </c>
      <c r="M306" s="237">
        <f>+IF(M4="N/A",0,IF(M305=0,0,$E$306*M9))</f>
        <v>0</v>
      </c>
      <c r="N306" s="237">
        <f t="shared" ref="N306:Q306" si="120">+IF(N4="N/A",0,IF(N305=0,0,$E$306*N9))</f>
        <v>0</v>
      </c>
      <c r="O306" s="237">
        <f t="shared" si="120"/>
        <v>0</v>
      </c>
      <c r="P306" s="237">
        <f t="shared" si="120"/>
        <v>0</v>
      </c>
      <c r="Q306" s="237">
        <f t="shared" si="120"/>
        <v>0</v>
      </c>
      <c r="R306" s="48">
        <v>0</v>
      </c>
      <c r="S306" s="48"/>
      <c r="T306" s="48">
        <f t="shared" si="118"/>
        <v>0</v>
      </c>
    </row>
    <row r="307" spans="1:20" s="26" customFormat="1" x14ac:dyDescent="0.2">
      <c r="A307" s="28"/>
      <c r="B307" s="66" t="s">
        <v>32</v>
      </c>
      <c r="C307" s="67"/>
      <c r="D307" s="68"/>
      <c r="E307" s="92" t="s">
        <v>265</v>
      </c>
      <c r="F307" s="106"/>
      <c r="G307" s="67"/>
      <c r="H307" s="68"/>
      <c r="I307" s="69"/>
      <c r="J307" s="69"/>
      <c r="K307" s="49">
        <f>SUM(K301:K306)</f>
        <v>0</v>
      </c>
      <c r="L307" s="49">
        <f t="shared" ref="L307:T307" si="121">SUM(L301:L306)</f>
        <v>0</v>
      </c>
      <c r="M307" s="238">
        <f t="shared" si="121"/>
        <v>0</v>
      </c>
      <c r="N307" s="238">
        <f t="shared" si="121"/>
        <v>0</v>
      </c>
      <c r="O307" s="238">
        <f t="shared" si="121"/>
        <v>0</v>
      </c>
      <c r="P307" s="238">
        <f t="shared" si="121"/>
        <v>0</v>
      </c>
      <c r="Q307" s="238">
        <f t="shared" si="121"/>
        <v>0</v>
      </c>
      <c r="R307" s="49">
        <f t="shared" si="121"/>
        <v>0</v>
      </c>
      <c r="S307" s="49"/>
      <c r="T307" s="49">
        <f t="shared" si="121"/>
        <v>0</v>
      </c>
    </row>
    <row r="308" spans="1:20" s="26" customFormat="1" x14ac:dyDescent="0.2">
      <c r="A308" s="28"/>
      <c r="B308" s="66" t="s">
        <v>264</v>
      </c>
      <c r="C308" s="67"/>
      <c r="D308" s="68"/>
      <c r="E308" s="92" t="s">
        <v>269</v>
      </c>
      <c r="F308" s="106"/>
      <c r="G308" s="67"/>
      <c r="H308" s="68"/>
      <c r="I308" s="69"/>
      <c r="J308" s="69"/>
      <c r="K308" s="70"/>
      <c r="L308" s="70"/>
      <c r="M308" s="242"/>
      <c r="N308" s="242"/>
      <c r="O308" s="242"/>
      <c r="P308" s="242"/>
      <c r="Q308" s="242"/>
      <c r="R308" s="70"/>
      <c r="S308" s="70"/>
      <c r="T308" s="71"/>
    </row>
    <row r="309" spans="1:20" ht="25.5" x14ac:dyDescent="0.2">
      <c r="B309" s="43">
        <v>1</v>
      </c>
      <c r="C309" s="85">
        <v>11400701</v>
      </c>
      <c r="D309" s="47" t="str">
        <f>+IF(G309="","",VLOOKUP('AFE DETAILED'!C309,'AVERAGE COST'!$B:$D,3,0))</f>
        <v>DAY</v>
      </c>
      <c r="E309" s="48">
        <f>+IF(C309="",0,VLOOKUP(C309,'AVERAGE COST'!$B$3:$E$995,4))</f>
        <v>0</v>
      </c>
      <c r="F309" s="47" t="s">
        <v>270</v>
      </c>
      <c r="G309" s="43">
        <v>114007</v>
      </c>
      <c r="H309" s="47" t="s">
        <v>287</v>
      </c>
      <c r="I309" s="155"/>
      <c r="J309" s="155"/>
      <c r="K309" s="48">
        <v>0</v>
      </c>
      <c r="L309" s="48">
        <v>0</v>
      </c>
      <c r="M309" s="237">
        <v>0</v>
      </c>
      <c r="N309" s="237">
        <v>0</v>
      </c>
      <c r="O309" s="237">
        <v>0</v>
      </c>
      <c r="P309" s="237">
        <v>0</v>
      </c>
      <c r="Q309" s="237">
        <v>0</v>
      </c>
      <c r="R309" s="48">
        <v>0</v>
      </c>
      <c r="S309" s="48"/>
      <c r="T309" s="48">
        <f t="shared" ref="T309:T339" si="122">SUM(K309:R309)</f>
        <v>0</v>
      </c>
    </row>
    <row r="310" spans="1:20" ht="25.5" x14ac:dyDescent="0.2">
      <c r="B310" s="43">
        <v>2</v>
      </c>
      <c r="C310" s="85">
        <v>11400702</v>
      </c>
      <c r="D310" s="47" t="str">
        <f>+IF(G310="","",VLOOKUP('AFE DETAILED'!C310,'AVERAGE COST'!$B:$D,3,0))</f>
        <v>DAY</v>
      </c>
      <c r="E310" s="48">
        <f>+IF(C310="",0,VLOOKUP(C310,'AVERAGE COST'!$B$3:$E$995,4))</f>
        <v>0</v>
      </c>
      <c r="F310" s="47" t="s">
        <v>271</v>
      </c>
      <c r="G310" s="43">
        <v>114007</v>
      </c>
      <c r="H310" s="47" t="s">
        <v>287</v>
      </c>
      <c r="I310" s="155"/>
      <c r="J310" s="155"/>
      <c r="K310" s="48">
        <v>0</v>
      </c>
      <c r="L310" s="48">
        <v>0</v>
      </c>
      <c r="M310" s="237">
        <v>0</v>
      </c>
      <c r="N310" s="237">
        <v>0</v>
      </c>
      <c r="O310" s="237">
        <v>0</v>
      </c>
      <c r="P310" s="237">
        <v>0</v>
      </c>
      <c r="Q310" s="237">
        <v>0</v>
      </c>
      <c r="R310" s="48">
        <v>0</v>
      </c>
      <c r="S310" s="48"/>
      <c r="T310" s="48">
        <f t="shared" si="122"/>
        <v>0</v>
      </c>
    </row>
    <row r="311" spans="1:20" ht="25.5" x14ac:dyDescent="0.2">
      <c r="B311" s="43">
        <v>3</v>
      </c>
      <c r="C311" s="85">
        <v>11400703</v>
      </c>
      <c r="D311" s="47" t="str">
        <f>+IF(G311="","",VLOOKUP('AFE DETAILED'!C311,'AVERAGE COST'!$B:$D,3,0))</f>
        <v>DAY</v>
      </c>
      <c r="E311" s="48">
        <f>+IF(C311="",0,VLOOKUP(C311,'AVERAGE COST'!$B$3:$E$995,4))</f>
        <v>0</v>
      </c>
      <c r="F311" s="47" t="s">
        <v>272</v>
      </c>
      <c r="G311" s="43">
        <v>114007</v>
      </c>
      <c r="H311" s="47" t="s">
        <v>287</v>
      </c>
      <c r="I311" s="155"/>
      <c r="J311" s="155"/>
      <c r="K311" s="48">
        <v>0</v>
      </c>
      <c r="L311" s="48">
        <v>0</v>
      </c>
      <c r="M311" s="237">
        <v>0</v>
      </c>
      <c r="N311" s="237">
        <v>0</v>
      </c>
      <c r="O311" s="237">
        <v>0</v>
      </c>
      <c r="P311" s="237">
        <v>0</v>
      </c>
      <c r="Q311" s="237">
        <v>0</v>
      </c>
      <c r="R311" s="48">
        <v>0</v>
      </c>
      <c r="S311" s="48"/>
      <c r="T311" s="48">
        <f t="shared" si="122"/>
        <v>0</v>
      </c>
    </row>
    <row r="312" spans="1:20" ht="25.5" x14ac:dyDescent="0.2">
      <c r="B312" s="43">
        <v>4</v>
      </c>
      <c r="C312" s="85">
        <v>11400704</v>
      </c>
      <c r="D312" s="47" t="str">
        <f>+IF(G312="","",VLOOKUP('AFE DETAILED'!C312,'AVERAGE COST'!$B:$D,3,0))</f>
        <v>DAY</v>
      </c>
      <c r="E312" s="48">
        <f>+IF(C312="",0,VLOOKUP(C312,'AVERAGE COST'!$B$3:$E$995,4))</f>
        <v>0</v>
      </c>
      <c r="F312" s="47" t="s">
        <v>273</v>
      </c>
      <c r="G312" s="43">
        <v>114007</v>
      </c>
      <c r="H312" s="47" t="s">
        <v>287</v>
      </c>
      <c r="I312" s="155"/>
      <c r="J312" s="155"/>
      <c r="K312" s="48">
        <v>0</v>
      </c>
      <c r="L312" s="48">
        <v>0</v>
      </c>
      <c r="M312" s="237">
        <v>0</v>
      </c>
      <c r="N312" s="237">
        <v>0</v>
      </c>
      <c r="O312" s="237">
        <v>0</v>
      </c>
      <c r="P312" s="237">
        <v>0</v>
      </c>
      <c r="Q312" s="237">
        <v>0</v>
      </c>
      <c r="R312" s="48">
        <v>0</v>
      </c>
      <c r="S312" s="48"/>
      <c r="T312" s="48">
        <f t="shared" si="122"/>
        <v>0</v>
      </c>
    </row>
    <row r="313" spans="1:20" ht="25.5" x14ac:dyDescent="0.2">
      <c r="B313" s="43">
        <v>5</v>
      </c>
      <c r="C313" s="85">
        <v>11400705</v>
      </c>
      <c r="D313" s="47" t="str">
        <f>+IF(G313="","",VLOOKUP('AFE DETAILED'!C313,'AVERAGE COST'!$B:$D,3,0))</f>
        <v>UNIT</v>
      </c>
      <c r="E313" s="48">
        <f>+IF(C313="",0,VLOOKUP(C313,'AVERAGE COST'!$B$3:$E$995,4))</f>
        <v>0</v>
      </c>
      <c r="F313" s="47" t="s">
        <v>96</v>
      </c>
      <c r="G313" s="43">
        <v>114007</v>
      </c>
      <c r="H313" s="47" t="s">
        <v>287</v>
      </c>
      <c r="I313" s="155"/>
      <c r="J313" s="155"/>
      <c r="K313" s="48">
        <v>0</v>
      </c>
      <c r="L313" s="48">
        <v>0</v>
      </c>
      <c r="M313" s="237">
        <v>0</v>
      </c>
      <c r="N313" s="237">
        <v>0</v>
      </c>
      <c r="O313" s="237">
        <v>0</v>
      </c>
      <c r="P313" s="237">
        <v>0</v>
      </c>
      <c r="Q313" s="237">
        <v>0</v>
      </c>
      <c r="R313" s="48">
        <v>0</v>
      </c>
      <c r="S313" s="48"/>
      <c r="T313" s="48">
        <f t="shared" si="122"/>
        <v>0</v>
      </c>
    </row>
    <row r="314" spans="1:20" ht="25.5" x14ac:dyDescent="0.2">
      <c r="B314" s="43">
        <v>6</v>
      </c>
      <c r="C314" s="85">
        <v>11400706</v>
      </c>
      <c r="D314" s="47" t="str">
        <f>+IF(G314="","",VLOOKUP('AFE DETAILED'!C314,'AVERAGE COST'!$B:$D,3,0))</f>
        <v>DAY</v>
      </c>
      <c r="E314" s="48">
        <f>+IF(C314="",0,VLOOKUP(C314,'AVERAGE COST'!$B$3:$E$995,4))</f>
        <v>0</v>
      </c>
      <c r="F314" s="47" t="s">
        <v>274</v>
      </c>
      <c r="G314" s="43">
        <v>114007</v>
      </c>
      <c r="H314" s="47" t="s">
        <v>287</v>
      </c>
      <c r="I314" s="155"/>
      <c r="J314" s="155"/>
      <c r="K314" s="48">
        <v>0</v>
      </c>
      <c r="L314" s="48">
        <v>0</v>
      </c>
      <c r="M314" s="237">
        <v>0</v>
      </c>
      <c r="N314" s="237">
        <v>0</v>
      </c>
      <c r="O314" s="237">
        <v>0</v>
      </c>
      <c r="P314" s="237">
        <v>0</v>
      </c>
      <c r="Q314" s="237">
        <v>0</v>
      </c>
      <c r="R314" s="48">
        <v>0</v>
      </c>
      <c r="S314" s="48"/>
      <c r="T314" s="48">
        <f t="shared" si="122"/>
        <v>0</v>
      </c>
    </row>
    <row r="315" spans="1:20" ht="25.5" x14ac:dyDescent="0.2">
      <c r="B315" s="43">
        <v>7</v>
      </c>
      <c r="C315" s="85">
        <v>11400707</v>
      </c>
      <c r="D315" s="47" t="str">
        <f>+IF(G315="","",VLOOKUP('AFE DETAILED'!C315,'AVERAGE COST'!$B:$D,3,0))</f>
        <v>DAY</v>
      </c>
      <c r="E315" s="48">
        <f>+IF(C315="",0,VLOOKUP(C315,'AVERAGE COST'!$B$3:$E$995,4))</f>
        <v>0</v>
      </c>
      <c r="F315" s="47" t="s">
        <v>275</v>
      </c>
      <c r="G315" s="43">
        <v>114007</v>
      </c>
      <c r="H315" s="47" t="s">
        <v>287</v>
      </c>
      <c r="I315" s="155"/>
      <c r="J315" s="155"/>
      <c r="K315" s="48">
        <v>0</v>
      </c>
      <c r="L315" s="48">
        <v>0</v>
      </c>
      <c r="M315" s="237">
        <v>0</v>
      </c>
      <c r="N315" s="237">
        <v>0</v>
      </c>
      <c r="O315" s="237">
        <v>0</v>
      </c>
      <c r="P315" s="237">
        <v>0</v>
      </c>
      <c r="Q315" s="237">
        <v>0</v>
      </c>
      <c r="R315" s="48">
        <v>0</v>
      </c>
      <c r="S315" s="48"/>
      <c r="T315" s="48">
        <f t="shared" si="122"/>
        <v>0</v>
      </c>
    </row>
    <row r="316" spans="1:20" ht="25.5" x14ac:dyDescent="0.2">
      <c r="B316" s="43">
        <v>8</v>
      </c>
      <c r="C316" s="85">
        <v>11400708</v>
      </c>
      <c r="D316" s="47" t="str">
        <f>+IF(G316="","",VLOOKUP('AFE DETAILED'!C316,'AVERAGE COST'!$B:$D,3,0))</f>
        <v>DAY</v>
      </c>
      <c r="E316" s="48">
        <f>+IF(C316="",0,VLOOKUP(C316,'AVERAGE COST'!$B$3:$E$995,4))</f>
        <v>0</v>
      </c>
      <c r="F316" s="47" t="s">
        <v>276</v>
      </c>
      <c r="G316" s="43">
        <v>114007</v>
      </c>
      <c r="H316" s="47" t="s">
        <v>287</v>
      </c>
      <c r="I316" s="155"/>
      <c r="J316" s="155"/>
      <c r="K316" s="48">
        <v>0</v>
      </c>
      <c r="L316" s="48">
        <v>0</v>
      </c>
      <c r="M316" s="237">
        <v>0</v>
      </c>
      <c r="N316" s="237">
        <v>0</v>
      </c>
      <c r="O316" s="237">
        <v>0</v>
      </c>
      <c r="P316" s="237">
        <v>0</v>
      </c>
      <c r="Q316" s="237">
        <v>0</v>
      </c>
      <c r="R316" s="48">
        <v>0</v>
      </c>
      <c r="S316" s="48"/>
      <c r="T316" s="48">
        <f t="shared" si="122"/>
        <v>0</v>
      </c>
    </row>
    <row r="317" spans="1:20" ht="25.5" x14ac:dyDescent="0.2">
      <c r="B317" s="43">
        <v>9</v>
      </c>
      <c r="C317" s="85">
        <v>11400709</v>
      </c>
      <c r="D317" s="47" t="str">
        <f>+IF(G317="","",VLOOKUP('AFE DETAILED'!C317,'AVERAGE COST'!$B:$D,3,0))</f>
        <v>GLOBAL</v>
      </c>
      <c r="E317" s="48">
        <f>+IF(C317="",0,VLOOKUP(C317,'AVERAGE COST'!$B$3:$E$995,4))</f>
        <v>0</v>
      </c>
      <c r="F317" s="47" t="s">
        <v>203</v>
      </c>
      <c r="G317" s="43">
        <v>114007</v>
      </c>
      <c r="H317" s="47" t="s">
        <v>287</v>
      </c>
      <c r="I317" s="155"/>
      <c r="J317" s="155"/>
      <c r="K317" s="48">
        <v>0</v>
      </c>
      <c r="L317" s="48">
        <v>0</v>
      </c>
      <c r="M317" s="237">
        <v>0</v>
      </c>
      <c r="N317" s="237">
        <v>0</v>
      </c>
      <c r="O317" s="237">
        <v>0</v>
      </c>
      <c r="P317" s="237">
        <v>0</v>
      </c>
      <c r="Q317" s="237">
        <v>0</v>
      </c>
      <c r="R317" s="48">
        <v>0</v>
      </c>
      <c r="S317" s="48"/>
      <c r="T317" s="48">
        <f t="shared" si="122"/>
        <v>0</v>
      </c>
    </row>
    <row r="318" spans="1:20" ht="25.5" x14ac:dyDescent="0.2">
      <c r="B318" s="43">
        <v>10</v>
      </c>
      <c r="C318" s="85">
        <v>11400710</v>
      </c>
      <c r="D318" s="47" t="str">
        <f>+IF(G318="","",VLOOKUP('AFE DETAILED'!C318,'AVERAGE COST'!$B:$D,3,0))</f>
        <v>DAY</v>
      </c>
      <c r="E318" s="48">
        <f>+IF(C318="",0,VLOOKUP(C318,'AVERAGE COST'!$B$3:$E$995,4))</f>
        <v>0</v>
      </c>
      <c r="F318" s="47" t="s">
        <v>277</v>
      </c>
      <c r="G318" s="43">
        <v>114007</v>
      </c>
      <c r="H318" s="47" t="s">
        <v>287</v>
      </c>
      <c r="I318" s="155"/>
      <c r="J318" s="155"/>
      <c r="K318" s="48">
        <v>0</v>
      </c>
      <c r="L318" s="48">
        <v>0</v>
      </c>
      <c r="M318" s="237">
        <v>0</v>
      </c>
      <c r="N318" s="237">
        <v>0</v>
      </c>
      <c r="O318" s="237">
        <v>0</v>
      </c>
      <c r="P318" s="237">
        <v>0</v>
      </c>
      <c r="Q318" s="237">
        <v>0</v>
      </c>
      <c r="R318" s="48">
        <v>0</v>
      </c>
      <c r="S318" s="48"/>
      <c r="T318" s="48">
        <f t="shared" si="122"/>
        <v>0</v>
      </c>
    </row>
    <row r="319" spans="1:20" ht="25.5" x14ac:dyDescent="0.2">
      <c r="B319" s="43">
        <v>11</v>
      </c>
      <c r="C319" s="85">
        <v>11400711</v>
      </c>
      <c r="D319" s="47" t="str">
        <f>+IF(G319="","",VLOOKUP('AFE DETAILED'!C319,'AVERAGE COST'!$B:$D,3,0))</f>
        <v>DAY</v>
      </c>
      <c r="E319" s="48">
        <f>+IF(C319="",0,VLOOKUP(C319,'AVERAGE COST'!$B$3:$E$995,4))</f>
        <v>0</v>
      </c>
      <c r="F319" s="47" t="s">
        <v>278</v>
      </c>
      <c r="G319" s="43">
        <v>114007</v>
      </c>
      <c r="H319" s="47" t="s">
        <v>287</v>
      </c>
      <c r="I319" s="155"/>
      <c r="J319" s="155"/>
      <c r="K319" s="48">
        <v>0</v>
      </c>
      <c r="L319" s="48">
        <v>0</v>
      </c>
      <c r="M319" s="237">
        <v>0</v>
      </c>
      <c r="N319" s="237">
        <v>0</v>
      </c>
      <c r="O319" s="237">
        <v>0</v>
      </c>
      <c r="P319" s="237">
        <v>0</v>
      </c>
      <c r="Q319" s="237">
        <v>0</v>
      </c>
      <c r="R319" s="48">
        <v>0</v>
      </c>
      <c r="S319" s="48"/>
      <c r="T319" s="48">
        <f t="shared" si="122"/>
        <v>0</v>
      </c>
    </row>
    <row r="320" spans="1:20" ht="25.5" x14ac:dyDescent="0.2">
      <c r="B320" s="43">
        <v>12</v>
      </c>
      <c r="C320" s="85">
        <v>11400712</v>
      </c>
      <c r="D320" s="47" t="str">
        <f>+IF(G320="","",VLOOKUP('AFE DETAILED'!C320,'AVERAGE COST'!$B:$D,3,0))</f>
        <v>DAY</v>
      </c>
      <c r="E320" s="48">
        <f>+IF(C320="",0,VLOOKUP(C320,'AVERAGE COST'!$B$3:$E$995,4))</f>
        <v>0</v>
      </c>
      <c r="F320" s="47" t="s">
        <v>279</v>
      </c>
      <c r="G320" s="43">
        <v>114007</v>
      </c>
      <c r="H320" s="47" t="s">
        <v>287</v>
      </c>
      <c r="I320" s="155"/>
      <c r="J320" s="155"/>
      <c r="K320" s="48">
        <v>0</v>
      </c>
      <c r="L320" s="48">
        <v>0</v>
      </c>
      <c r="M320" s="237">
        <v>0</v>
      </c>
      <c r="N320" s="237">
        <v>0</v>
      </c>
      <c r="O320" s="237">
        <v>0</v>
      </c>
      <c r="P320" s="237">
        <v>0</v>
      </c>
      <c r="Q320" s="237">
        <v>0</v>
      </c>
      <c r="R320" s="48">
        <v>0</v>
      </c>
      <c r="S320" s="48"/>
      <c r="T320" s="48">
        <f t="shared" si="122"/>
        <v>0</v>
      </c>
    </row>
    <row r="321" spans="1:20" ht="25.5" x14ac:dyDescent="0.2">
      <c r="B321" s="43">
        <v>13</v>
      </c>
      <c r="C321" s="85">
        <v>11400713</v>
      </c>
      <c r="D321" s="47" t="str">
        <f>+IF(G321="","",VLOOKUP('AFE DETAILED'!C321,'AVERAGE COST'!$B:$D,3,0))</f>
        <v>DAY</v>
      </c>
      <c r="E321" s="48">
        <f>+IF(C321="",0,VLOOKUP(C321,'AVERAGE COST'!$B$3:$E$995,4))</f>
        <v>0</v>
      </c>
      <c r="F321" s="47" t="s">
        <v>280</v>
      </c>
      <c r="G321" s="43">
        <v>114007</v>
      </c>
      <c r="H321" s="47" t="s">
        <v>287</v>
      </c>
      <c r="I321" s="155"/>
      <c r="J321" s="155"/>
      <c r="K321" s="48">
        <v>0</v>
      </c>
      <c r="L321" s="48">
        <v>0</v>
      </c>
      <c r="M321" s="237">
        <v>0</v>
      </c>
      <c r="N321" s="237">
        <v>0</v>
      </c>
      <c r="O321" s="237">
        <v>0</v>
      </c>
      <c r="P321" s="237">
        <v>0</v>
      </c>
      <c r="Q321" s="237">
        <v>0</v>
      </c>
      <c r="R321" s="48">
        <v>0</v>
      </c>
      <c r="S321" s="48"/>
      <c r="T321" s="48">
        <f t="shared" si="122"/>
        <v>0</v>
      </c>
    </row>
    <row r="322" spans="1:20" ht="25.5" x14ac:dyDescent="0.2">
      <c r="B322" s="43">
        <v>14</v>
      </c>
      <c r="C322" s="85">
        <v>11400714</v>
      </c>
      <c r="D322" s="47" t="str">
        <f>+IF(G322="","",VLOOKUP('AFE DETAILED'!C322,'AVERAGE COST'!$B:$D,3,0))</f>
        <v>DAY</v>
      </c>
      <c r="E322" s="48">
        <f>+IF(C322="",0,VLOOKUP(C322,'AVERAGE COST'!$B$3:$E$995,4))</f>
        <v>0</v>
      </c>
      <c r="F322" s="47" t="s">
        <v>281</v>
      </c>
      <c r="G322" s="43">
        <v>114007</v>
      </c>
      <c r="H322" s="47" t="s">
        <v>287</v>
      </c>
      <c r="I322" s="155"/>
      <c r="J322" s="155"/>
      <c r="K322" s="48">
        <v>0</v>
      </c>
      <c r="L322" s="48">
        <v>0</v>
      </c>
      <c r="M322" s="237">
        <v>0</v>
      </c>
      <c r="N322" s="237">
        <v>0</v>
      </c>
      <c r="O322" s="237">
        <v>0</v>
      </c>
      <c r="P322" s="237">
        <v>0</v>
      </c>
      <c r="Q322" s="237">
        <v>0</v>
      </c>
      <c r="R322" s="48">
        <v>0</v>
      </c>
      <c r="S322" s="48"/>
      <c r="T322" s="48">
        <f t="shared" si="122"/>
        <v>0</v>
      </c>
    </row>
    <row r="323" spans="1:20" ht="25.5" x14ac:dyDescent="0.2">
      <c r="B323" s="43">
        <v>15</v>
      </c>
      <c r="C323" s="85">
        <v>11400715</v>
      </c>
      <c r="D323" s="47" t="str">
        <f>+IF(G323="","",VLOOKUP('AFE DETAILED'!C323,'AVERAGE COST'!$B:$D,3,0))</f>
        <v>GLOBAL</v>
      </c>
      <c r="E323" s="48">
        <f>+IF(C323="",0,VLOOKUP(C323,'AVERAGE COST'!$B$3:$E$995,4))</f>
        <v>0</v>
      </c>
      <c r="F323" s="47" t="s">
        <v>98</v>
      </c>
      <c r="G323" s="43">
        <v>114007</v>
      </c>
      <c r="H323" s="47" t="s">
        <v>287</v>
      </c>
      <c r="I323" s="155"/>
      <c r="J323" s="155"/>
      <c r="K323" s="48">
        <v>0</v>
      </c>
      <c r="L323" s="48">
        <v>0</v>
      </c>
      <c r="M323" s="237">
        <v>0</v>
      </c>
      <c r="N323" s="237">
        <v>0</v>
      </c>
      <c r="O323" s="237">
        <v>0</v>
      </c>
      <c r="P323" s="237">
        <v>0</v>
      </c>
      <c r="Q323" s="237">
        <v>0</v>
      </c>
      <c r="R323" s="48">
        <v>0</v>
      </c>
      <c r="S323" s="48"/>
      <c r="T323" s="48">
        <f t="shared" si="122"/>
        <v>0</v>
      </c>
    </row>
    <row r="324" spans="1:20" ht="25.5" x14ac:dyDescent="0.2">
      <c r="B324" s="43">
        <v>16</v>
      </c>
      <c r="C324" s="85">
        <v>11400716</v>
      </c>
      <c r="D324" s="47" t="str">
        <f>+IF(G324="","",VLOOKUP('AFE DETAILED'!C324,'AVERAGE COST'!$B:$D,3,0))</f>
        <v>DAY</v>
      </c>
      <c r="E324" s="48">
        <f>+IF(C324="",0,VLOOKUP(C324,'AVERAGE COST'!$B$3:$E$995,4))</f>
        <v>0</v>
      </c>
      <c r="F324" s="47" t="s">
        <v>282</v>
      </c>
      <c r="G324" s="43">
        <v>114007</v>
      </c>
      <c r="H324" s="47" t="s">
        <v>287</v>
      </c>
      <c r="I324" s="155"/>
      <c r="J324" s="155"/>
      <c r="K324" s="48">
        <v>0</v>
      </c>
      <c r="L324" s="48">
        <v>0</v>
      </c>
      <c r="M324" s="237">
        <v>0</v>
      </c>
      <c r="N324" s="237">
        <v>0</v>
      </c>
      <c r="O324" s="237">
        <v>0</v>
      </c>
      <c r="P324" s="237">
        <v>0</v>
      </c>
      <c r="Q324" s="237">
        <v>0</v>
      </c>
      <c r="R324" s="48">
        <v>0</v>
      </c>
      <c r="S324" s="48"/>
      <c r="T324" s="48">
        <f t="shared" si="122"/>
        <v>0</v>
      </c>
    </row>
    <row r="325" spans="1:20" ht="25.5" x14ac:dyDescent="0.2">
      <c r="B325" s="43">
        <v>17</v>
      </c>
      <c r="C325" s="85">
        <v>11400717</v>
      </c>
      <c r="D325" s="47" t="str">
        <f>+IF(G325="","",VLOOKUP('AFE DETAILED'!C325,'AVERAGE COST'!$B:$D,3,0))</f>
        <v>DAY</v>
      </c>
      <c r="E325" s="48">
        <f>+IF(C325="",0,VLOOKUP(C325,'AVERAGE COST'!$B$3:$E$995,4))</f>
        <v>0</v>
      </c>
      <c r="F325" s="47" t="s">
        <v>283</v>
      </c>
      <c r="G325" s="43">
        <v>114007</v>
      </c>
      <c r="H325" s="47" t="s">
        <v>287</v>
      </c>
      <c r="I325" s="155"/>
      <c r="J325" s="155"/>
      <c r="K325" s="48">
        <v>0</v>
      </c>
      <c r="L325" s="48">
        <v>0</v>
      </c>
      <c r="M325" s="237">
        <v>0</v>
      </c>
      <c r="N325" s="237">
        <v>0</v>
      </c>
      <c r="O325" s="237">
        <v>0</v>
      </c>
      <c r="P325" s="237">
        <v>0</v>
      </c>
      <c r="Q325" s="237">
        <v>0</v>
      </c>
      <c r="R325" s="48">
        <v>0</v>
      </c>
      <c r="S325" s="48"/>
      <c r="T325" s="48">
        <f t="shared" si="122"/>
        <v>0</v>
      </c>
    </row>
    <row r="326" spans="1:20" ht="25.5" x14ac:dyDescent="0.2">
      <c r="B326" s="43">
        <v>18</v>
      </c>
      <c r="C326" s="85">
        <v>11400718</v>
      </c>
      <c r="D326" s="47" t="str">
        <f>+IF(G326="","",VLOOKUP('AFE DETAILED'!C326,'AVERAGE COST'!$B:$D,3,0))</f>
        <v>DAY</v>
      </c>
      <c r="E326" s="48">
        <f>+IF(C326="",0,VLOOKUP(C326,'AVERAGE COST'!$B$3:$E$995,4))</f>
        <v>0</v>
      </c>
      <c r="F326" s="47" t="s">
        <v>284</v>
      </c>
      <c r="G326" s="43">
        <v>114007</v>
      </c>
      <c r="H326" s="47" t="s">
        <v>287</v>
      </c>
      <c r="I326" s="155"/>
      <c r="J326" s="155"/>
      <c r="K326" s="48">
        <v>0</v>
      </c>
      <c r="L326" s="48">
        <v>0</v>
      </c>
      <c r="M326" s="237">
        <v>0</v>
      </c>
      <c r="N326" s="237">
        <v>0</v>
      </c>
      <c r="O326" s="237">
        <v>0</v>
      </c>
      <c r="P326" s="237">
        <v>0</v>
      </c>
      <c r="Q326" s="237">
        <v>0</v>
      </c>
      <c r="R326" s="48">
        <v>0</v>
      </c>
      <c r="S326" s="48"/>
      <c r="T326" s="48">
        <f t="shared" si="122"/>
        <v>0</v>
      </c>
    </row>
    <row r="327" spans="1:20" ht="25.5" x14ac:dyDescent="0.2">
      <c r="B327" s="43">
        <v>19</v>
      </c>
      <c r="C327" s="43">
        <v>11400719</v>
      </c>
      <c r="D327" s="47" t="str">
        <f>+IF(G327="","",VLOOKUP('AFE DETAILED'!C327,'AVERAGE COST'!$B:$D,3,0))</f>
        <v>DAY</v>
      </c>
      <c r="E327" s="48">
        <f>+IF(C327="",0,VLOOKUP(C327,'AVERAGE COST'!$B$3:$E$995,4))</f>
        <v>0</v>
      </c>
      <c r="F327" s="47" t="s">
        <v>285</v>
      </c>
      <c r="G327" s="43">
        <v>114007</v>
      </c>
      <c r="H327" s="47" t="s">
        <v>287</v>
      </c>
      <c r="I327" s="155"/>
      <c r="J327" s="155"/>
      <c r="K327" s="48">
        <v>0</v>
      </c>
      <c r="L327" s="48">
        <v>0</v>
      </c>
      <c r="M327" s="237">
        <v>0</v>
      </c>
      <c r="N327" s="237">
        <v>0</v>
      </c>
      <c r="O327" s="237">
        <v>0</v>
      </c>
      <c r="P327" s="237">
        <v>0</v>
      </c>
      <c r="Q327" s="237">
        <v>0</v>
      </c>
      <c r="R327" s="48">
        <v>0</v>
      </c>
      <c r="S327" s="48"/>
      <c r="T327" s="48">
        <f t="shared" si="122"/>
        <v>0</v>
      </c>
    </row>
    <row r="328" spans="1:20" ht="25.5" x14ac:dyDescent="0.2">
      <c r="B328" s="43">
        <v>20</v>
      </c>
      <c r="C328" s="43">
        <v>11400720</v>
      </c>
      <c r="D328" s="47" t="str">
        <f>+IF(G328="","",VLOOKUP('AFE DETAILED'!C328,'AVERAGE COST'!$B:$D,3,0))</f>
        <v>UNIT</v>
      </c>
      <c r="E328" s="48">
        <f>+IF(C328="",0,VLOOKUP(C328,'AVERAGE COST'!$B$3:$E$995,4))</f>
        <v>0</v>
      </c>
      <c r="F328" s="47" t="s">
        <v>286</v>
      </c>
      <c r="G328" s="43">
        <v>114007</v>
      </c>
      <c r="H328" s="47" t="s">
        <v>287</v>
      </c>
      <c r="I328" s="155"/>
      <c r="J328" s="155"/>
      <c r="K328" s="48">
        <v>0</v>
      </c>
      <c r="L328" s="48">
        <v>0</v>
      </c>
      <c r="M328" s="237">
        <v>0</v>
      </c>
      <c r="N328" s="237">
        <v>0</v>
      </c>
      <c r="O328" s="237">
        <v>0</v>
      </c>
      <c r="P328" s="237">
        <v>0</v>
      </c>
      <c r="Q328" s="237">
        <v>0</v>
      </c>
      <c r="R328" s="48">
        <v>0</v>
      </c>
      <c r="S328" s="48"/>
      <c r="T328" s="48">
        <f t="shared" si="122"/>
        <v>0</v>
      </c>
    </row>
    <row r="329" spans="1:20" ht="25.5" x14ac:dyDescent="0.2">
      <c r="B329" s="43">
        <v>21</v>
      </c>
      <c r="C329" s="155"/>
      <c r="D329" s="265"/>
      <c r="E329" s="266"/>
      <c r="F329" s="265"/>
      <c r="G329" s="43">
        <v>114007</v>
      </c>
      <c r="H329" s="47" t="s">
        <v>287</v>
      </c>
      <c r="I329" s="155"/>
      <c r="J329" s="155"/>
      <c r="K329" s="269">
        <v>0</v>
      </c>
      <c r="L329" s="269">
        <v>0</v>
      </c>
      <c r="M329" s="267"/>
      <c r="N329" s="267"/>
      <c r="O329" s="267"/>
      <c r="P329" s="267"/>
      <c r="Q329" s="267"/>
      <c r="R329" s="266"/>
      <c r="S329" s="48"/>
      <c r="T329" s="48">
        <f t="shared" si="122"/>
        <v>0</v>
      </c>
    </row>
    <row r="330" spans="1:20" ht="25.5" x14ac:dyDescent="0.2">
      <c r="B330" s="43">
        <v>22</v>
      </c>
      <c r="C330" s="155"/>
      <c r="D330" s="265"/>
      <c r="E330" s="266"/>
      <c r="F330" s="265"/>
      <c r="G330" s="43">
        <v>114007</v>
      </c>
      <c r="H330" s="47" t="s">
        <v>287</v>
      </c>
      <c r="I330" s="155"/>
      <c r="J330" s="155"/>
      <c r="K330" s="269">
        <v>0</v>
      </c>
      <c r="L330" s="269">
        <v>0</v>
      </c>
      <c r="M330" s="267"/>
      <c r="N330" s="267"/>
      <c r="O330" s="267"/>
      <c r="P330" s="267"/>
      <c r="Q330" s="267"/>
      <c r="R330" s="266"/>
      <c r="S330" s="48"/>
      <c r="T330" s="48">
        <f t="shared" si="122"/>
        <v>0</v>
      </c>
    </row>
    <row r="331" spans="1:20" ht="25.5" x14ac:dyDescent="0.2">
      <c r="B331" s="43">
        <v>23</v>
      </c>
      <c r="C331" s="155"/>
      <c r="D331" s="265"/>
      <c r="E331" s="266"/>
      <c r="F331" s="265"/>
      <c r="G331" s="43">
        <v>114007</v>
      </c>
      <c r="H331" s="47" t="s">
        <v>287</v>
      </c>
      <c r="I331" s="155"/>
      <c r="J331" s="155"/>
      <c r="K331" s="269">
        <v>0</v>
      </c>
      <c r="L331" s="269">
        <v>0</v>
      </c>
      <c r="M331" s="267"/>
      <c r="N331" s="267"/>
      <c r="O331" s="267"/>
      <c r="P331" s="267"/>
      <c r="Q331" s="267"/>
      <c r="R331" s="266"/>
      <c r="S331" s="48"/>
      <c r="T331" s="48">
        <f t="shared" si="122"/>
        <v>0</v>
      </c>
    </row>
    <row r="332" spans="1:20" ht="25.5" x14ac:dyDescent="0.2">
      <c r="B332" s="43">
        <v>24</v>
      </c>
      <c r="C332" s="155"/>
      <c r="D332" s="265"/>
      <c r="E332" s="266"/>
      <c r="F332" s="265"/>
      <c r="G332" s="43">
        <v>114007</v>
      </c>
      <c r="H332" s="47" t="s">
        <v>287</v>
      </c>
      <c r="I332" s="155"/>
      <c r="J332" s="155"/>
      <c r="K332" s="269">
        <v>0</v>
      </c>
      <c r="L332" s="269">
        <v>0</v>
      </c>
      <c r="M332" s="267"/>
      <c r="N332" s="267"/>
      <c r="O332" s="267"/>
      <c r="P332" s="267"/>
      <c r="Q332" s="267"/>
      <c r="R332" s="266"/>
      <c r="S332" s="48"/>
      <c r="T332" s="48">
        <f t="shared" si="122"/>
        <v>0</v>
      </c>
    </row>
    <row r="333" spans="1:20" ht="25.5" x14ac:dyDescent="0.2">
      <c r="B333" s="43">
        <v>25</v>
      </c>
      <c r="C333" s="155"/>
      <c r="D333" s="265"/>
      <c r="E333" s="266"/>
      <c r="F333" s="265"/>
      <c r="G333" s="43">
        <v>114007</v>
      </c>
      <c r="H333" s="47" t="s">
        <v>287</v>
      </c>
      <c r="I333" s="155"/>
      <c r="J333" s="155"/>
      <c r="K333" s="269">
        <v>0</v>
      </c>
      <c r="L333" s="269">
        <v>0</v>
      </c>
      <c r="M333" s="267"/>
      <c r="N333" s="267"/>
      <c r="O333" s="267"/>
      <c r="P333" s="267"/>
      <c r="Q333" s="267"/>
      <c r="R333" s="266"/>
      <c r="S333" s="48"/>
      <c r="T333" s="48">
        <f t="shared" si="122"/>
        <v>0</v>
      </c>
    </row>
    <row r="334" spans="1:20" s="27" customFormat="1" ht="25.5" x14ac:dyDescent="0.2">
      <c r="A334" s="28"/>
      <c r="B334" s="43">
        <v>26</v>
      </c>
      <c r="C334" s="155"/>
      <c r="D334" s="265"/>
      <c r="E334" s="266"/>
      <c r="F334" s="265"/>
      <c r="G334" s="43">
        <v>114007</v>
      </c>
      <c r="H334" s="47" t="s">
        <v>287</v>
      </c>
      <c r="I334" s="155"/>
      <c r="J334" s="155"/>
      <c r="K334" s="269">
        <v>0</v>
      </c>
      <c r="L334" s="269">
        <v>0</v>
      </c>
      <c r="M334" s="267"/>
      <c r="N334" s="267"/>
      <c r="O334" s="267"/>
      <c r="P334" s="267"/>
      <c r="Q334" s="267"/>
      <c r="R334" s="266"/>
      <c r="S334" s="48"/>
      <c r="T334" s="48">
        <f t="shared" si="122"/>
        <v>0</v>
      </c>
    </row>
    <row r="335" spans="1:20" s="27" customFormat="1" ht="25.5" x14ac:dyDescent="0.2">
      <c r="A335" s="28"/>
      <c r="B335" s="43">
        <v>27</v>
      </c>
      <c r="C335" s="155"/>
      <c r="D335" s="265"/>
      <c r="E335" s="266"/>
      <c r="F335" s="265"/>
      <c r="G335" s="43">
        <v>114007</v>
      </c>
      <c r="H335" s="47" t="s">
        <v>287</v>
      </c>
      <c r="I335" s="155"/>
      <c r="J335" s="155"/>
      <c r="K335" s="269">
        <v>0</v>
      </c>
      <c r="L335" s="269">
        <v>0</v>
      </c>
      <c r="M335" s="267"/>
      <c r="N335" s="267"/>
      <c r="O335" s="267"/>
      <c r="P335" s="267"/>
      <c r="Q335" s="267"/>
      <c r="R335" s="266"/>
      <c r="S335" s="48"/>
      <c r="T335" s="48">
        <f t="shared" si="122"/>
        <v>0</v>
      </c>
    </row>
    <row r="336" spans="1:20" s="27" customFormat="1" ht="25.5" x14ac:dyDescent="0.2">
      <c r="A336" s="28"/>
      <c r="B336" s="43">
        <v>28</v>
      </c>
      <c r="C336" s="155"/>
      <c r="D336" s="265"/>
      <c r="E336" s="266"/>
      <c r="F336" s="265"/>
      <c r="G336" s="43">
        <v>114007</v>
      </c>
      <c r="H336" s="47" t="s">
        <v>287</v>
      </c>
      <c r="I336" s="155"/>
      <c r="J336" s="155"/>
      <c r="K336" s="269">
        <v>0</v>
      </c>
      <c r="L336" s="269">
        <v>0</v>
      </c>
      <c r="M336" s="267"/>
      <c r="N336" s="267"/>
      <c r="O336" s="267"/>
      <c r="P336" s="267"/>
      <c r="Q336" s="267"/>
      <c r="R336" s="266"/>
      <c r="S336" s="48"/>
      <c r="T336" s="48">
        <f t="shared" si="122"/>
        <v>0</v>
      </c>
    </row>
    <row r="337" spans="1:20" s="27" customFormat="1" ht="25.5" x14ac:dyDescent="0.2">
      <c r="A337" s="28"/>
      <c r="B337" s="43">
        <v>29</v>
      </c>
      <c r="C337" s="155"/>
      <c r="D337" s="265"/>
      <c r="E337" s="266"/>
      <c r="F337" s="265"/>
      <c r="G337" s="43">
        <v>114007</v>
      </c>
      <c r="H337" s="47" t="s">
        <v>287</v>
      </c>
      <c r="I337" s="155"/>
      <c r="J337" s="155"/>
      <c r="K337" s="269">
        <v>0</v>
      </c>
      <c r="L337" s="269">
        <v>0</v>
      </c>
      <c r="M337" s="267"/>
      <c r="N337" s="267"/>
      <c r="O337" s="267"/>
      <c r="P337" s="267"/>
      <c r="Q337" s="267"/>
      <c r="R337" s="266"/>
      <c r="S337" s="48"/>
      <c r="T337" s="48">
        <f t="shared" si="122"/>
        <v>0</v>
      </c>
    </row>
    <row r="338" spans="1:20" s="27" customFormat="1" ht="25.5" x14ac:dyDescent="0.2">
      <c r="A338" s="28"/>
      <c r="B338" s="43">
        <v>30</v>
      </c>
      <c r="C338" s="155"/>
      <c r="D338" s="265"/>
      <c r="E338" s="266"/>
      <c r="F338" s="265"/>
      <c r="G338" s="43">
        <v>114007</v>
      </c>
      <c r="H338" s="47" t="s">
        <v>287</v>
      </c>
      <c r="I338" s="155"/>
      <c r="J338" s="155"/>
      <c r="K338" s="269">
        <v>0</v>
      </c>
      <c r="L338" s="269">
        <v>0</v>
      </c>
      <c r="M338" s="267"/>
      <c r="N338" s="267"/>
      <c r="O338" s="267"/>
      <c r="P338" s="267"/>
      <c r="Q338" s="267"/>
      <c r="R338" s="266"/>
      <c r="S338" s="48"/>
      <c r="T338" s="48">
        <f t="shared" si="122"/>
        <v>0</v>
      </c>
    </row>
    <row r="339" spans="1:20" s="27" customFormat="1" ht="25.5" x14ac:dyDescent="0.2">
      <c r="A339" s="28"/>
      <c r="B339" s="43">
        <v>31</v>
      </c>
      <c r="C339" s="155"/>
      <c r="D339" s="265"/>
      <c r="E339" s="266"/>
      <c r="F339" s="265"/>
      <c r="G339" s="43">
        <v>114007</v>
      </c>
      <c r="H339" s="47" t="s">
        <v>287</v>
      </c>
      <c r="I339" s="155"/>
      <c r="J339" s="155"/>
      <c r="K339" s="269">
        <v>0</v>
      </c>
      <c r="L339" s="269">
        <v>0</v>
      </c>
      <c r="M339" s="267"/>
      <c r="N339" s="267"/>
      <c r="O339" s="267"/>
      <c r="P339" s="267"/>
      <c r="Q339" s="267"/>
      <c r="R339" s="266"/>
      <c r="S339" s="48"/>
      <c r="T339" s="48">
        <f t="shared" si="122"/>
        <v>0</v>
      </c>
    </row>
    <row r="340" spans="1:20" s="26" customFormat="1" x14ac:dyDescent="0.2">
      <c r="A340" s="28"/>
      <c r="B340" s="66" t="s">
        <v>32</v>
      </c>
      <c r="C340" s="67"/>
      <c r="D340" s="68"/>
      <c r="E340" s="92" t="s">
        <v>289</v>
      </c>
      <c r="F340" s="106"/>
      <c r="G340" s="67"/>
      <c r="H340" s="68"/>
      <c r="I340" s="69"/>
      <c r="J340" s="69"/>
      <c r="K340" s="49">
        <f>SUM(K309:K339)</f>
        <v>0</v>
      </c>
      <c r="L340" s="49">
        <f t="shared" ref="L340:T340" si="123">SUM(L309:L339)</f>
        <v>0</v>
      </c>
      <c r="M340" s="238">
        <f t="shared" si="123"/>
        <v>0</v>
      </c>
      <c r="N340" s="238">
        <f t="shared" si="123"/>
        <v>0</v>
      </c>
      <c r="O340" s="238">
        <f t="shared" si="123"/>
        <v>0</v>
      </c>
      <c r="P340" s="238">
        <f t="shared" si="123"/>
        <v>0</v>
      </c>
      <c r="Q340" s="238">
        <f t="shared" si="123"/>
        <v>0</v>
      </c>
      <c r="R340" s="49">
        <f t="shared" si="123"/>
        <v>0</v>
      </c>
      <c r="S340" s="49"/>
      <c r="T340" s="49">
        <f t="shared" si="123"/>
        <v>0</v>
      </c>
    </row>
    <row r="341" spans="1:20" s="26" customFormat="1" x14ac:dyDescent="0.2">
      <c r="A341" s="28"/>
      <c r="B341" s="66" t="s">
        <v>288</v>
      </c>
      <c r="C341" s="67"/>
      <c r="D341" s="68"/>
      <c r="E341" s="92" t="s">
        <v>290</v>
      </c>
      <c r="F341" s="106"/>
      <c r="G341" s="67"/>
      <c r="H341" s="68"/>
      <c r="I341" s="69"/>
      <c r="J341" s="69"/>
      <c r="K341" s="70"/>
      <c r="L341" s="70"/>
      <c r="M341" s="242"/>
      <c r="N341" s="242"/>
      <c r="O341" s="242"/>
      <c r="P341" s="242"/>
      <c r="Q341" s="242"/>
      <c r="R341" s="70"/>
      <c r="S341" s="70"/>
      <c r="T341" s="71"/>
    </row>
    <row r="342" spans="1:20" ht="25.5" x14ac:dyDescent="0.2">
      <c r="B342" s="43">
        <v>1</v>
      </c>
      <c r="C342" s="85">
        <v>11400801</v>
      </c>
      <c r="D342" s="47" t="str">
        <f>+IF(G342="","",VLOOKUP('AFE DETAILED'!C342,'AVERAGE COST'!$B:$D,3,0))</f>
        <v>UNIT</v>
      </c>
      <c r="E342" s="48">
        <f>+IF(C342="",0,VLOOKUP(C342,'AVERAGE COST'!$B$3:$E$995,4))</f>
        <v>0</v>
      </c>
      <c r="F342" s="47" t="s">
        <v>96</v>
      </c>
      <c r="G342" s="43">
        <v>114008</v>
      </c>
      <c r="H342" s="47" t="s">
        <v>291</v>
      </c>
      <c r="I342" s="155"/>
      <c r="J342" s="155"/>
      <c r="K342" s="48">
        <v>0</v>
      </c>
      <c r="L342" s="48">
        <v>0</v>
      </c>
      <c r="M342" s="237">
        <v>0</v>
      </c>
      <c r="N342" s="237">
        <v>0</v>
      </c>
      <c r="O342" s="237">
        <v>0</v>
      </c>
      <c r="P342" s="237">
        <v>0</v>
      </c>
      <c r="Q342" s="237">
        <v>0</v>
      </c>
      <c r="R342" s="48">
        <v>0</v>
      </c>
      <c r="S342" s="48"/>
      <c r="T342" s="48">
        <f t="shared" ref="T342:T350" si="124">SUM(K342:R342)</f>
        <v>0</v>
      </c>
    </row>
    <row r="343" spans="1:20" ht="25.5" x14ac:dyDescent="0.2">
      <c r="B343" s="43">
        <v>2</v>
      </c>
      <c r="C343" s="85">
        <v>11400802</v>
      </c>
      <c r="D343" s="47" t="str">
        <f>+IF(G343="","",VLOOKUP('AFE DETAILED'!C343,'AVERAGE COST'!$B:$D,3,0))</f>
        <v>UNIT</v>
      </c>
      <c r="E343" s="48">
        <f>+IF(C343="",0,VLOOKUP(C343,'AVERAGE COST'!$B$3:$E$995,4))</f>
        <v>0</v>
      </c>
      <c r="F343" s="47" t="s">
        <v>292</v>
      </c>
      <c r="G343" s="43">
        <v>114008</v>
      </c>
      <c r="H343" s="47" t="s">
        <v>291</v>
      </c>
      <c r="I343" s="155"/>
      <c r="J343" s="155"/>
      <c r="K343" s="48">
        <v>0</v>
      </c>
      <c r="L343" s="48">
        <v>0</v>
      </c>
      <c r="M343" s="237">
        <v>0</v>
      </c>
      <c r="N343" s="237">
        <v>0</v>
      </c>
      <c r="O343" s="237">
        <v>0</v>
      </c>
      <c r="P343" s="237">
        <v>0</v>
      </c>
      <c r="Q343" s="237">
        <v>0</v>
      </c>
      <c r="R343" s="48">
        <v>0</v>
      </c>
      <c r="S343" s="48"/>
      <c r="T343" s="48">
        <f t="shared" si="124"/>
        <v>0</v>
      </c>
    </row>
    <row r="344" spans="1:20" ht="25.5" x14ac:dyDescent="0.2">
      <c r="B344" s="43">
        <v>3</v>
      </c>
      <c r="C344" s="85">
        <v>11400803</v>
      </c>
      <c r="D344" s="47" t="str">
        <f>+IF(G344="","",VLOOKUP('AFE DETAILED'!C344,'AVERAGE COST'!$B:$D,3,0))</f>
        <v>DAY</v>
      </c>
      <c r="E344" s="48">
        <f>+IF(C344="",0,VLOOKUP(C344,'AVERAGE COST'!$B$3:$E$995,4))</f>
        <v>0</v>
      </c>
      <c r="F344" s="47" t="s">
        <v>293</v>
      </c>
      <c r="G344" s="43">
        <v>114008</v>
      </c>
      <c r="H344" s="47" t="s">
        <v>291</v>
      </c>
      <c r="I344" s="155"/>
      <c r="J344" s="155"/>
      <c r="K344" s="48">
        <v>0</v>
      </c>
      <c r="L344" s="48">
        <v>0</v>
      </c>
      <c r="M344" s="237">
        <f>+IF(M4="n/a",0,IF('INITIAL DATA'!C77="yes",$E$344*M9,0))</f>
        <v>0</v>
      </c>
      <c r="N344" s="237">
        <f>+IF(N4="n/a",0,IF('INITIAL DATA'!D77="yes",$E$344*N9,0))</f>
        <v>0</v>
      </c>
      <c r="O344" s="237">
        <f>+IF(O4="n/a",0,IF('INITIAL DATA'!E77="yes",$E$344*O9,0))</f>
        <v>0</v>
      </c>
      <c r="P344" s="237">
        <f>+IF(P4="n/a",0,IF('INITIAL DATA'!F77="yes",$E$344*P9,0))</f>
        <v>0</v>
      </c>
      <c r="Q344" s="237">
        <f>+IF(Q4="n/a",0,IF('INITIAL DATA'!G77="yes",$E$344*Q9,0))</f>
        <v>0</v>
      </c>
      <c r="R344" s="48">
        <f>+IF(R4="n/a",0,IF('INITIAL DATA'!H77="yes",$E$344*R9,0))</f>
        <v>0</v>
      </c>
      <c r="S344" s="48"/>
      <c r="T344" s="48">
        <f t="shared" si="124"/>
        <v>0</v>
      </c>
    </row>
    <row r="345" spans="1:20" ht="25.5" x14ac:dyDescent="0.2">
      <c r="B345" s="43">
        <v>4</v>
      </c>
      <c r="C345" s="85">
        <v>11400804</v>
      </c>
      <c r="D345" s="47" t="str">
        <f>+IF(G345="","",VLOOKUP('AFE DETAILED'!C345,'AVERAGE COST'!$B:$D,3,0))</f>
        <v>DAY</v>
      </c>
      <c r="E345" s="48">
        <f>+IF(C345="",0,VLOOKUP(C345,'AVERAGE COST'!$B$3:$E$995,4))</f>
        <v>0</v>
      </c>
      <c r="F345" s="47" t="s">
        <v>294</v>
      </c>
      <c r="G345" s="43">
        <v>114008</v>
      </c>
      <c r="H345" s="47" t="s">
        <v>291</v>
      </c>
      <c r="I345" s="155"/>
      <c r="J345" s="155"/>
      <c r="K345" s="48">
        <v>0</v>
      </c>
      <c r="L345" s="48">
        <v>0</v>
      </c>
      <c r="M345" s="237">
        <f>+IF(M4="n/a",0,IF(M344=0,0,M9*$E$345))</f>
        <v>0</v>
      </c>
      <c r="N345" s="237">
        <f t="shared" ref="N345:R345" si="125">+IF(N4="n/a",0,IF(N344=0,0,N9*$E$345))</f>
        <v>0</v>
      </c>
      <c r="O345" s="237">
        <f t="shared" si="125"/>
        <v>0</v>
      </c>
      <c r="P345" s="237">
        <f t="shared" si="125"/>
        <v>0</v>
      </c>
      <c r="Q345" s="237">
        <f t="shared" si="125"/>
        <v>0</v>
      </c>
      <c r="R345" s="48">
        <f t="shared" si="125"/>
        <v>0</v>
      </c>
      <c r="S345" s="48"/>
      <c r="T345" s="48">
        <f t="shared" si="124"/>
        <v>0</v>
      </c>
    </row>
    <row r="346" spans="1:20" ht="25.5" x14ac:dyDescent="0.2">
      <c r="B346" s="43">
        <v>5</v>
      </c>
      <c r="C346" s="85">
        <v>11400805</v>
      </c>
      <c r="D346" s="47" t="str">
        <f>+IF(G346="","",VLOOKUP('AFE DETAILED'!C346,'AVERAGE COST'!$B:$D,3,0))</f>
        <v>GLOBAL</v>
      </c>
      <c r="E346" s="48">
        <f>+IF(C346="",0,VLOOKUP(C346,'AVERAGE COST'!$B$3:$E$995,4))</f>
        <v>0</v>
      </c>
      <c r="F346" s="47" t="s">
        <v>203</v>
      </c>
      <c r="G346" s="43">
        <v>114008</v>
      </c>
      <c r="H346" s="47" t="s">
        <v>291</v>
      </c>
      <c r="I346" s="155"/>
      <c r="J346" s="155"/>
      <c r="K346" s="48">
        <v>0</v>
      </c>
      <c r="L346" s="48">
        <v>0</v>
      </c>
      <c r="M346" s="237">
        <f>+IF(M4="n/a",0,IF(M344=0,0,$E$346))</f>
        <v>0</v>
      </c>
      <c r="N346" s="237">
        <f>+IF(N4="N/a",0,IF(N344=0,0,IF(M346=0,$E$346,0)))</f>
        <v>0</v>
      </c>
      <c r="O346" s="237">
        <f t="shared" ref="O346:R346" si="126">+IF(O4="N/a",0,IF(O344=0,0,IF(N346=0,$E$346,0)))</f>
        <v>0</v>
      </c>
      <c r="P346" s="237">
        <f t="shared" si="126"/>
        <v>0</v>
      </c>
      <c r="Q346" s="237">
        <f t="shared" si="126"/>
        <v>0</v>
      </c>
      <c r="R346" s="48">
        <f t="shared" si="126"/>
        <v>0</v>
      </c>
      <c r="S346" s="48"/>
      <c r="T346" s="48">
        <f t="shared" si="124"/>
        <v>0</v>
      </c>
    </row>
    <row r="347" spans="1:20" ht="25.5" x14ac:dyDescent="0.2">
      <c r="B347" s="43">
        <v>6</v>
      </c>
      <c r="C347" s="85">
        <v>11400806</v>
      </c>
      <c r="D347" s="47" t="str">
        <f>+IF(G347="","",VLOOKUP('AFE DETAILED'!C347,'AVERAGE COST'!$B:$D,3,0))</f>
        <v>DAY</v>
      </c>
      <c r="E347" s="48">
        <f>+IF(C347="",0,VLOOKUP(C347,'AVERAGE COST'!$B$3:$E$995,4))</f>
        <v>0</v>
      </c>
      <c r="F347" s="47" t="s">
        <v>237</v>
      </c>
      <c r="G347" s="43">
        <v>114008</v>
      </c>
      <c r="H347" s="47" t="s">
        <v>291</v>
      </c>
      <c r="I347" s="155"/>
      <c r="J347" s="155"/>
      <c r="K347" s="48">
        <v>0</v>
      </c>
      <c r="L347" s="48">
        <v>0</v>
      </c>
      <c r="M347" s="237">
        <f>+IF(M4="n/a",0,IF(M344=0,0,M9*$E$347))</f>
        <v>0</v>
      </c>
      <c r="N347" s="237">
        <f t="shared" ref="N347:R347" si="127">+IF(N4="n/a",0,IF(N344=0,0,N9*$E$347))</f>
        <v>0</v>
      </c>
      <c r="O347" s="237">
        <f t="shared" si="127"/>
        <v>0</v>
      </c>
      <c r="P347" s="237">
        <f>+IF(P4="n/a",0,IF(P344=0,0,P9*$E$347))</f>
        <v>0</v>
      </c>
      <c r="Q347" s="237">
        <f t="shared" si="127"/>
        <v>0</v>
      </c>
      <c r="R347" s="48">
        <f t="shared" si="127"/>
        <v>0</v>
      </c>
      <c r="S347" s="48"/>
      <c r="T347" s="48">
        <f t="shared" si="124"/>
        <v>0</v>
      </c>
    </row>
    <row r="348" spans="1:20" ht="25.5" x14ac:dyDescent="0.2">
      <c r="B348" s="43">
        <v>7</v>
      </c>
      <c r="C348" s="85">
        <v>11400807</v>
      </c>
      <c r="D348" s="47" t="str">
        <f>+IF(G348="","",VLOOKUP('AFE DETAILED'!C348,'AVERAGE COST'!$B:$D,3,0))</f>
        <v>GLOBAL</v>
      </c>
      <c r="E348" s="48">
        <f>+IF(C348="",0,VLOOKUP(C348,'AVERAGE COST'!$B$3:$E$995,4))</f>
        <v>0</v>
      </c>
      <c r="F348" s="47" t="s">
        <v>98</v>
      </c>
      <c r="G348" s="43">
        <v>114008</v>
      </c>
      <c r="H348" s="47" t="s">
        <v>291</v>
      </c>
      <c r="I348" s="155"/>
      <c r="J348" s="155"/>
      <c r="K348" s="48">
        <v>0</v>
      </c>
      <c r="L348" s="48">
        <v>0</v>
      </c>
      <c r="M348" s="237">
        <v>0</v>
      </c>
      <c r="N348" s="237">
        <v>0</v>
      </c>
      <c r="O348" s="237">
        <v>0</v>
      </c>
      <c r="P348" s="237">
        <v>0</v>
      </c>
      <c r="Q348" s="237">
        <v>0</v>
      </c>
      <c r="R348" s="48">
        <v>0</v>
      </c>
      <c r="S348" s="48"/>
      <c r="T348" s="48">
        <f t="shared" si="124"/>
        <v>0</v>
      </c>
    </row>
    <row r="349" spans="1:20" ht="25.5" x14ac:dyDescent="0.2">
      <c r="B349" s="43">
        <v>8</v>
      </c>
      <c r="C349" s="85">
        <v>11400808</v>
      </c>
      <c r="D349" s="47" t="str">
        <f>+IF(G349="","",VLOOKUP('AFE DETAILED'!C349,'AVERAGE COST'!$B:$D,3,0))</f>
        <v>FT</v>
      </c>
      <c r="E349" s="48">
        <f>+IF(C349="",0,VLOOKUP(C349,'AVERAGE COST'!$B$3:$E$995,4))</f>
        <v>0</v>
      </c>
      <c r="F349" s="47" t="s">
        <v>295</v>
      </c>
      <c r="G349" s="43">
        <v>114008</v>
      </c>
      <c r="H349" s="47" t="s">
        <v>291</v>
      </c>
      <c r="I349" s="155"/>
      <c r="J349" s="155"/>
      <c r="K349" s="48">
        <v>0</v>
      </c>
      <c r="L349" s="48">
        <v>0</v>
      </c>
      <c r="M349" s="237">
        <f>+IF(M4="n/a",0,IF(M344=0,0,$E$349*M11))</f>
        <v>0</v>
      </c>
      <c r="N349" s="237">
        <f t="shared" ref="N349:R349" si="128">+IF(N4="n/a",0,IF(N344=0,0,$E$349*N11))</f>
        <v>0</v>
      </c>
      <c r="O349" s="237">
        <f t="shared" si="128"/>
        <v>0</v>
      </c>
      <c r="P349" s="237">
        <f t="shared" si="128"/>
        <v>0</v>
      </c>
      <c r="Q349" s="237">
        <f t="shared" si="128"/>
        <v>0</v>
      </c>
      <c r="R349" s="48">
        <f t="shared" si="128"/>
        <v>0</v>
      </c>
      <c r="S349" s="48"/>
      <c r="T349" s="48">
        <f t="shared" si="124"/>
        <v>0</v>
      </c>
    </row>
    <row r="350" spans="1:20" ht="25.5" x14ac:dyDescent="0.2">
      <c r="B350" s="43">
        <v>9</v>
      </c>
      <c r="C350" s="155"/>
      <c r="D350" s="265"/>
      <c r="E350" s="266"/>
      <c r="F350" s="265"/>
      <c r="G350" s="43">
        <v>114008</v>
      </c>
      <c r="H350" s="47" t="s">
        <v>291</v>
      </c>
      <c r="I350" s="155"/>
      <c r="J350" s="155"/>
      <c r="K350" s="269">
        <v>0</v>
      </c>
      <c r="L350" s="269">
        <v>0</v>
      </c>
      <c r="M350" s="267"/>
      <c r="N350" s="267"/>
      <c r="O350" s="267"/>
      <c r="P350" s="267"/>
      <c r="Q350" s="267"/>
      <c r="R350" s="266"/>
      <c r="S350" s="48"/>
      <c r="T350" s="48">
        <f t="shared" si="124"/>
        <v>0</v>
      </c>
    </row>
    <row r="351" spans="1:20" s="26" customFormat="1" x14ac:dyDescent="0.2">
      <c r="A351" s="28"/>
      <c r="B351" s="66" t="s">
        <v>32</v>
      </c>
      <c r="C351" s="67"/>
      <c r="D351" s="68"/>
      <c r="E351" s="92" t="s">
        <v>515</v>
      </c>
      <c r="F351" s="106"/>
      <c r="G351" s="67"/>
      <c r="H351" s="68"/>
      <c r="I351" s="69"/>
      <c r="J351" s="69"/>
      <c r="K351" s="49">
        <f>SUM(K342:K350)</f>
        <v>0</v>
      </c>
      <c r="L351" s="49">
        <f t="shared" ref="L351:T351" si="129">SUM(L342:L350)</f>
        <v>0</v>
      </c>
      <c r="M351" s="238">
        <f t="shared" si="129"/>
        <v>0</v>
      </c>
      <c r="N351" s="238">
        <f t="shared" si="129"/>
        <v>0</v>
      </c>
      <c r="O351" s="238">
        <f t="shared" si="129"/>
        <v>0</v>
      </c>
      <c r="P351" s="238">
        <f t="shared" si="129"/>
        <v>0</v>
      </c>
      <c r="Q351" s="238">
        <f t="shared" si="129"/>
        <v>0</v>
      </c>
      <c r="R351" s="49">
        <f t="shared" si="129"/>
        <v>0</v>
      </c>
      <c r="S351" s="49"/>
      <c r="T351" s="49">
        <f t="shared" si="129"/>
        <v>0</v>
      </c>
    </row>
    <row r="352" spans="1:20" s="26" customFormat="1" x14ac:dyDescent="0.2">
      <c r="A352" s="28"/>
      <c r="B352" s="66" t="s">
        <v>297</v>
      </c>
      <c r="C352" s="67"/>
      <c r="D352" s="68"/>
      <c r="E352" s="92" t="s">
        <v>296</v>
      </c>
      <c r="F352" s="106"/>
      <c r="G352" s="67"/>
      <c r="H352" s="68"/>
      <c r="I352" s="69"/>
      <c r="J352" s="69"/>
      <c r="K352" s="70"/>
      <c r="L352" s="70"/>
      <c r="M352" s="242"/>
      <c r="N352" s="242"/>
      <c r="O352" s="242"/>
      <c r="P352" s="242"/>
      <c r="Q352" s="242"/>
      <c r="R352" s="70"/>
      <c r="S352" s="70"/>
      <c r="T352" s="71"/>
    </row>
    <row r="353" spans="2:20" x14ac:dyDescent="0.2">
      <c r="B353" s="43">
        <v>1</v>
      </c>
      <c r="C353" s="85">
        <v>11400901</v>
      </c>
      <c r="D353" s="47" t="str">
        <f>+IF(G353="","",VLOOKUP('AFE DETAILED'!C353,'AVERAGE COST'!$B:$D,3,0))</f>
        <v>GLOBAL</v>
      </c>
      <c r="E353" s="48">
        <f>+IF(C353="",0,VLOOKUP(C353,'AVERAGE COST'!$B$3:$E$995,4))</f>
        <v>0</v>
      </c>
      <c r="F353" s="47" t="s">
        <v>299</v>
      </c>
      <c r="G353" s="43">
        <v>114009</v>
      </c>
      <c r="H353" s="47" t="s">
        <v>306</v>
      </c>
      <c r="I353" s="155"/>
      <c r="J353" s="155"/>
      <c r="K353" s="48">
        <v>0</v>
      </c>
      <c r="L353" s="48">
        <v>0</v>
      </c>
      <c r="M353" s="237">
        <f>+IF(M4="n/a",0,IF(AND(M354&lt;&gt;0,L353=0),$E$353,0))</f>
        <v>0</v>
      </c>
      <c r="N353" s="237">
        <f t="shared" ref="N353" si="130">+IF(N4="n/a",0,IF(AND(N354&lt;&gt;0,M353=0),$E$353,0))</f>
        <v>0</v>
      </c>
      <c r="O353" s="237">
        <f>+IF(O4="n/a",0,IF(AND(O354&lt;&gt;0,N353=0,M353=0),$E$353,0))</f>
        <v>0</v>
      </c>
      <c r="P353" s="237">
        <f>+IF(P4="n/a",0,IF(AND(P354&lt;&gt;0,O353=0,M353=0,N353=0),$E$353,0))</f>
        <v>0</v>
      </c>
      <c r="Q353" s="237">
        <f>+IF(Q4="n/a",0,IF(AND(Q354&lt;&gt;0,P353=0,M353=0,N353=0,O353=0),$E$353,0))</f>
        <v>0</v>
      </c>
      <c r="R353" s="48">
        <v>0</v>
      </c>
      <c r="S353" s="48"/>
      <c r="T353" s="48">
        <f t="shared" ref="T353:T369" si="131">SUM(K353:R353)</f>
        <v>0</v>
      </c>
    </row>
    <row r="354" spans="2:20" x14ac:dyDescent="0.2">
      <c r="B354" s="43">
        <v>2</v>
      </c>
      <c r="C354" s="85">
        <v>11400902</v>
      </c>
      <c r="D354" s="47" t="str">
        <f>+IF(G354="","",VLOOKUP('AFE DETAILED'!C354,'AVERAGE COST'!$B:$D,3,0))</f>
        <v>FT</v>
      </c>
      <c r="E354" s="48">
        <f>+IF(C354="",0,VLOOKUP(C354,'AVERAGE COST'!$B$3:$E$995,4))</f>
        <v>0</v>
      </c>
      <c r="F354" s="47" t="s">
        <v>300</v>
      </c>
      <c r="G354" s="43">
        <v>114009</v>
      </c>
      <c r="H354" s="47" t="s">
        <v>306</v>
      </c>
      <c r="I354" s="155"/>
      <c r="J354" s="155"/>
      <c r="K354" s="48">
        <v>0</v>
      </c>
      <c r="L354" s="48">
        <v>0</v>
      </c>
      <c r="M354" s="237">
        <f>+IF(M4="n/a",0,IF('INITIAL DATA'!C78="YES",$E$354*(M11-L11),0))</f>
        <v>0</v>
      </c>
      <c r="N354" s="237">
        <f>+IF(N4="n/a",0,IF('INITIAL DATA'!D78="YES",$E$354*(N11-M11),0))</f>
        <v>0</v>
      </c>
      <c r="O354" s="237">
        <f>+IF(O4="n/a",0,IF('INITIAL DATA'!E78="YES",$E$354*(O11-N11),0))</f>
        <v>0</v>
      </c>
      <c r="P354" s="237">
        <f>+IF(P4="n/a",0,IF('INITIAL DATA'!F78="YES",$E$354*(P11-O11),0))</f>
        <v>0</v>
      </c>
      <c r="Q354" s="237">
        <f>+IF(Q4="n/a",0,IF('INITIAL DATA'!G78="YES",$E$354*(Q11-P11),0))</f>
        <v>0</v>
      </c>
      <c r="R354" s="48">
        <v>0</v>
      </c>
      <c r="S354" s="48"/>
      <c r="T354" s="48">
        <f t="shared" si="131"/>
        <v>0</v>
      </c>
    </row>
    <row r="355" spans="2:20" x14ac:dyDescent="0.2">
      <c r="B355" s="43">
        <v>3</v>
      </c>
      <c r="C355" s="85">
        <v>11400903</v>
      </c>
      <c r="D355" s="47" t="str">
        <f>+IF(G355="","",VLOOKUP('AFE DETAILED'!C355,'AVERAGE COST'!$B:$D,3,0))</f>
        <v>UNIT</v>
      </c>
      <c r="E355" s="48">
        <f>+IF(C355="",0,VLOOKUP(C355,'AVERAGE COST'!$B$3:$E$995,4))</f>
        <v>0</v>
      </c>
      <c r="F355" s="47" t="s">
        <v>96</v>
      </c>
      <c r="G355" s="43">
        <v>114009</v>
      </c>
      <c r="H355" s="47" t="s">
        <v>306</v>
      </c>
      <c r="I355" s="155"/>
      <c r="J355" s="155"/>
      <c r="K355" s="48">
        <v>0</v>
      </c>
      <c r="L355" s="48">
        <v>0</v>
      </c>
      <c r="M355" s="237">
        <v>0</v>
      </c>
      <c r="N355" s="237">
        <v>0</v>
      </c>
      <c r="O355" s="237">
        <v>0</v>
      </c>
      <c r="P355" s="237">
        <v>0</v>
      </c>
      <c r="Q355" s="237">
        <v>0</v>
      </c>
      <c r="R355" s="48">
        <v>0</v>
      </c>
      <c r="S355" s="48"/>
      <c r="T355" s="48">
        <f t="shared" si="131"/>
        <v>0</v>
      </c>
    </row>
    <row r="356" spans="2:20" x14ac:dyDescent="0.2">
      <c r="B356" s="43">
        <v>4</v>
      </c>
      <c r="C356" s="85">
        <v>11400904</v>
      </c>
      <c r="D356" s="47" t="str">
        <f>+IF(G356="","",VLOOKUP('AFE DETAILED'!C356,'AVERAGE COST'!$B:$D,3,0))</f>
        <v>UNIT</v>
      </c>
      <c r="E356" s="48">
        <f>+IF(C356="",0,VLOOKUP(C356,'AVERAGE COST'!$B$3:$E$995,4))</f>
        <v>0</v>
      </c>
      <c r="F356" s="47" t="s">
        <v>301</v>
      </c>
      <c r="G356" s="43">
        <v>114009</v>
      </c>
      <c r="H356" s="47" t="s">
        <v>306</v>
      </c>
      <c r="I356" s="155"/>
      <c r="J356" s="155"/>
      <c r="K356" s="48">
        <v>0</v>
      </c>
      <c r="L356" s="48">
        <v>0</v>
      </c>
      <c r="M356" s="237">
        <f>+IF(M4="n/a",0,IF('INITIAL DATA'!C79="YES",$E$356*((M11-L11)/1000),0))</f>
        <v>0</v>
      </c>
      <c r="N356" s="237">
        <f>+IF(N4="n/a",0,IF('INITIAL DATA'!D79="YES",$E$356*((N11-M11)/1000),0))</f>
        <v>0</v>
      </c>
      <c r="O356" s="237">
        <f>+IF(O4="n/a",0,IF('INITIAL DATA'!E79="YES",$E$356*((O11-N11)/1000),0))</f>
        <v>0</v>
      </c>
      <c r="P356" s="237">
        <f>+IF(P4="n/a",0,IF('INITIAL DATA'!F79="YES",$E$356*((P11-O11)/1000),0))</f>
        <v>0</v>
      </c>
      <c r="Q356" s="237">
        <f>+IF(Q4="n/a",0,IF('INITIAL DATA'!G79="YES",$E$356*((Q11-P11)/1000),0))</f>
        <v>0</v>
      </c>
      <c r="R356" s="48">
        <v>0</v>
      </c>
      <c r="S356" s="48"/>
      <c r="T356" s="48">
        <f t="shared" si="131"/>
        <v>0</v>
      </c>
    </row>
    <row r="357" spans="2:20" x14ac:dyDescent="0.2">
      <c r="B357" s="43">
        <v>5</v>
      </c>
      <c r="C357" s="85">
        <v>11400905</v>
      </c>
      <c r="D357" s="47" t="str">
        <f>+IF(G357="","",VLOOKUP('AFE DETAILED'!C357,'AVERAGE COST'!$B:$D,3,0))</f>
        <v>GLOBAL</v>
      </c>
      <c r="E357" s="48">
        <f>+IF(C357="",0,VLOOKUP(C357,'AVERAGE COST'!$B$3:$E$995,4))</f>
        <v>0</v>
      </c>
      <c r="F357" s="47" t="s">
        <v>203</v>
      </c>
      <c r="G357" s="43">
        <v>114009</v>
      </c>
      <c r="H357" s="47" t="s">
        <v>306</v>
      </c>
      <c r="I357" s="155"/>
      <c r="J357" s="155"/>
      <c r="K357" s="48">
        <v>0</v>
      </c>
      <c r="L357" s="48">
        <v>0</v>
      </c>
      <c r="M357" s="237">
        <f>+IF(M4="n/a",0,IF(OR(M354&lt;&gt;0,M359&lt;&gt;0),IF(AND(L357=0),$E$357,0),0))</f>
        <v>0</v>
      </c>
      <c r="N357" s="237">
        <f t="shared" ref="N357" si="132">+IF(N4="n/a",0,IF(OR(N354&lt;&gt;0,N359&lt;&gt;0),IF(AND(M357=0),$E$357,0),0))</f>
        <v>0</v>
      </c>
      <c r="O357" s="237">
        <f>+IF(O4="n/a",0,IF(OR(O354&lt;&gt;0,O359&lt;&gt;0),IF(AND(N357=0,M357=0),$E$357,0),0))</f>
        <v>0</v>
      </c>
      <c r="P357" s="237">
        <f>+IF(P4="n/a",0,IF(OR(P354&lt;&gt;0,P359&lt;&gt;0),IF(AND(O357=0,N357=0,M357=0),$E$357,0),0))</f>
        <v>0</v>
      </c>
      <c r="Q357" s="237">
        <f>+IF(Q4="n/a",0,IF(OR(Q354&lt;&gt;0,Q359&lt;&gt;0),IF(AND(P357=0,N357=0,M357=0,O357=0),$E$357,0),0))</f>
        <v>0</v>
      </c>
      <c r="R357" s="48">
        <v>0</v>
      </c>
      <c r="S357" s="48"/>
      <c r="T357" s="48">
        <f t="shared" si="131"/>
        <v>0</v>
      </c>
    </row>
    <row r="358" spans="2:20" x14ac:dyDescent="0.2">
      <c r="B358" s="43">
        <v>6</v>
      </c>
      <c r="C358" s="85">
        <v>11400906</v>
      </c>
      <c r="D358" s="47" t="str">
        <f>+IF(G358="","",VLOOKUP('AFE DETAILED'!C358,'AVERAGE COST'!$B:$D,3,0))</f>
        <v>GLOBAL</v>
      </c>
      <c r="E358" s="48">
        <f>+IF(C358="",0,VLOOKUP(C358,'AVERAGE COST'!$B$3:$E$995,4))</f>
        <v>0</v>
      </c>
      <c r="F358" s="47" t="s">
        <v>302</v>
      </c>
      <c r="G358" s="43">
        <v>114009</v>
      </c>
      <c r="H358" s="47" t="s">
        <v>306</v>
      </c>
      <c r="I358" s="155"/>
      <c r="J358" s="155"/>
      <c r="K358" s="48">
        <v>0</v>
      </c>
      <c r="L358" s="48">
        <v>0</v>
      </c>
      <c r="M358" s="237">
        <f>+IF(M4="n/a",0,IF(AND(M359&lt;&gt;0,L358=0),$E$358,0))</f>
        <v>0</v>
      </c>
      <c r="N358" s="237">
        <f>+IF(N4="n/a",0,IF(AND(N359&lt;&gt;0,M358=0),$E$358,0))</f>
        <v>0</v>
      </c>
      <c r="O358" s="237">
        <f>+IF(O4="n/a",0,IF(AND(O359&lt;&gt;0,N358=0,M358=0),$E$358,0))</f>
        <v>0</v>
      </c>
      <c r="P358" s="237">
        <f>+IF(P4="n/a",0,IF(AND(P359&lt;&gt;0,O358=0,M358=0,N358=0),$E$358,0))</f>
        <v>0</v>
      </c>
      <c r="Q358" s="237">
        <f>+IF(Q4="n/a",0,IF(AND(Q359&lt;&gt;0,P358=0,M358=0,N358=0,O358=0),$E$358,0))</f>
        <v>0</v>
      </c>
      <c r="R358" s="48">
        <v>0</v>
      </c>
      <c r="S358" s="48"/>
      <c r="T358" s="48">
        <f t="shared" si="131"/>
        <v>0</v>
      </c>
    </row>
    <row r="359" spans="2:20" x14ac:dyDescent="0.2">
      <c r="B359" s="43">
        <v>7</v>
      </c>
      <c r="C359" s="85">
        <v>11400907</v>
      </c>
      <c r="D359" s="47" t="str">
        <f>+IF(G359="","",VLOOKUP('AFE DETAILED'!C359,'AVERAGE COST'!$B:$D,3,0))</f>
        <v>FT</v>
      </c>
      <c r="E359" s="48">
        <f>+IF(C359="",0,VLOOKUP(C359,'AVERAGE COST'!$B$3:$E$995,4))</f>
        <v>0</v>
      </c>
      <c r="F359" s="47" t="s">
        <v>303</v>
      </c>
      <c r="G359" s="43">
        <v>114009</v>
      </c>
      <c r="H359" s="47" t="s">
        <v>306</v>
      </c>
      <c r="I359" s="155"/>
      <c r="J359" s="155"/>
      <c r="K359" s="48">
        <v>0</v>
      </c>
      <c r="L359" s="48">
        <v>0</v>
      </c>
      <c r="M359" s="237">
        <f>+IF(M4="n/a",0,IF('INITIAL DATA'!C79="YES",$E$359*(M11-L11),0))</f>
        <v>0</v>
      </c>
      <c r="N359" s="237">
        <f>+IF(N4="n/a",0,IF('INITIAL DATA'!D79="YES",$E$359*(N11-M11),0))</f>
        <v>0</v>
      </c>
      <c r="O359" s="237">
        <f>+IF(O4="n/a",0,IF('INITIAL DATA'!E79="YES",$E$359*(O11-N11),0))</f>
        <v>0</v>
      </c>
      <c r="P359" s="237">
        <f>+IF(P4="n/a",0,IF('INITIAL DATA'!F79="YES",$E$359*(P11-O11),0))</f>
        <v>0</v>
      </c>
      <c r="Q359" s="237">
        <f>+IF(Q4="n/a",0,IF('INITIAL DATA'!G79="YES",$E$359*(Q11-P11),0))</f>
        <v>0</v>
      </c>
      <c r="R359" s="48">
        <v>0</v>
      </c>
      <c r="S359" s="48"/>
      <c r="T359" s="48">
        <f t="shared" si="131"/>
        <v>0</v>
      </c>
    </row>
    <row r="360" spans="2:20" x14ac:dyDescent="0.2">
      <c r="B360" s="43">
        <v>8</v>
      </c>
      <c r="C360" s="85">
        <v>11400908</v>
      </c>
      <c r="D360" s="47" t="str">
        <f>+IF(G360="","",VLOOKUP('AFE DETAILED'!C360,'AVERAGE COST'!$B:$D,3,0))</f>
        <v>DAY</v>
      </c>
      <c r="E360" s="48">
        <f>+IF(C360="",0,VLOOKUP(C360,'AVERAGE COST'!$B$3:$E$995,4))</f>
        <v>0</v>
      </c>
      <c r="F360" s="47" t="s">
        <v>237</v>
      </c>
      <c r="G360" s="43">
        <v>114009</v>
      </c>
      <c r="H360" s="47" t="s">
        <v>306</v>
      </c>
      <c r="I360" s="155"/>
      <c r="J360" s="155"/>
      <c r="K360" s="48">
        <v>0</v>
      </c>
      <c r="L360" s="48">
        <v>0</v>
      </c>
      <c r="M360" s="237">
        <f>+IF(M4="n/a",0,IF(OR(M354&lt;&gt;0,M359&lt;&gt;0),$E$360*M9,0))</f>
        <v>0</v>
      </c>
      <c r="N360" s="237">
        <f t="shared" ref="N360:P360" si="133">+IF(N4="n/a",0,IF(OR(N354&lt;&gt;0,N359&lt;&gt;0),$E$360*N9,0))</f>
        <v>0</v>
      </c>
      <c r="O360" s="237">
        <f t="shared" si="133"/>
        <v>0</v>
      </c>
      <c r="P360" s="237">
        <f t="shared" si="133"/>
        <v>0</v>
      </c>
      <c r="Q360" s="237">
        <f>+IF(Q4="n/a",0,IF(OR(Q354&lt;&gt;0,Q359&lt;&gt;0),$E$360*Q9,0))</f>
        <v>0</v>
      </c>
      <c r="R360" s="48">
        <v>0</v>
      </c>
      <c r="S360" s="48"/>
      <c r="T360" s="48">
        <f t="shared" si="131"/>
        <v>0</v>
      </c>
    </row>
    <row r="361" spans="2:20" x14ac:dyDescent="0.2">
      <c r="B361" s="43">
        <v>9</v>
      </c>
      <c r="C361" s="85">
        <v>11400909</v>
      </c>
      <c r="D361" s="47" t="str">
        <f>+IF(G361="","",VLOOKUP('AFE DETAILED'!C361,'AVERAGE COST'!$B:$D,3,0))</f>
        <v>GLOBAL</v>
      </c>
      <c r="E361" s="48">
        <f>+IF(C361="",0,VLOOKUP(C361,'AVERAGE COST'!$B$3:$E$995,4))</f>
        <v>0</v>
      </c>
      <c r="F361" s="47" t="s">
        <v>98</v>
      </c>
      <c r="G361" s="43">
        <v>114009</v>
      </c>
      <c r="H361" s="47" t="s">
        <v>306</v>
      </c>
      <c r="I361" s="155"/>
      <c r="J361" s="155"/>
      <c r="K361" s="48">
        <v>0</v>
      </c>
      <c r="L361" s="48">
        <v>0</v>
      </c>
      <c r="M361" s="237">
        <v>0</v>
      </c>
      <c r="N361" s="237">
        <v>0</v>
      </c>
      <c r="O361" s="237">
        <v>0</v>
      </c>
      <c r="P361" s="237">
        <v>0</v>
      </c>
      <c r="Q361" s="237">
        <v>0</v>
      </c>
      <c r="R361" s="48">
        <v>0</v>
      </c>
      <c r="S361" s="48"/>
      <c r="T361" s="48">
        <f t="shared" si="131"/>
        <v>0</v>
      </c>
    </row>
    <row r="362" spans="2:20" x14ac:dyDescent="0.2">
      <c r="B362" s="43">
        <v>10</v>
      </c>
      <c r="C362" s="85">
        <v>11400910</v>
      </c>
      <c r="D362" s="47" t="str">
        <f>+IF(G362="","",VLOOKUP('AFE DETAILED'!C362,'AVERAGE COST'!$B:$D,3,0))</f>
        <v>DAY</v>
      </c>
      <c r="E362" s="48">
        <f>+IF(C362="",0,VLOOKUP(C362,'AVERAGE COST'!$B$3:$E$995,4))</f>
        <v>0</v>
      </c>
      <c r="F362" s="47" t="s">
        <v>238</v>
      </c>
      <c r="G362" s="43">
        <v>114009</v>
      </c>
      <c r="H362" s="47" t="s">
        <v>306</v>
      </c>
      <c r="I362" s="155"/>
      <c r="J362" s="155"/>
      <c r="K362" s="48">
        <v>0</v>
      </c>
      <c r="L362" s="48">
        <v>0</v>
      </c>
      <c r="M362" s="237">
        <f>+IF(M4="n/a",0,IF(OR(M354&lt;&gt;0,M359&lt;&gt;0),$E$362*M9,0))</f>
        <v>0</v>
      </c>
      <c r="N362" s="237">
        <f t="shared" ref="N362:Q362" si="134">+IF(N4="n/a",0,IF(OR(N354&lt;&gt;0,N359&lt;&gt;0),$E$362*N9,0))</f>
        <v>0</v>
      </c>
      <c r="O362" s="237">
        <f t="shared" si="134"/>
        <v>0</v>
      </c>
      <c r="P362" s="237">
        <f t="shared" si="134"/>
        <v>0</v>
      </c>
      <c r="Q362" s="237">
        <f t="shared" si="134"/>
        <v>0</v>
      </c>
      <c r="R362" s="48">
        <v>0</v>
      </c>
      <c r="S362" s="48"/>
      <c r="T362" s="48">
        <f t="shared" si="131"/>
        <v>0</v>
      </c>
    </row>
    <row r="363" spans="2:20" x14ac:dyDescent="0.2">
      <c r="B363" s="43">
        <v>11</v>
      </c>
      <c r="C363" s="85">
        <v>11400911</v>
      </c>
      <c r="D363" s="47" t="str">
        <f>+IF(G363="","",VLOOKUP('AFE DETAILED'!C363,'AVERAGE COST'!$B:$D,3,0))</f>
        <v>DAY</v>
      </c>
      <c r="E363" s="48">
        <f>+IF(C363="",0,VLOOKUP(C363,'AVERAGE COST'!$B$3:$E$995,4))</f>
        <v>0</v>
      </c>
      <c r="F363" s="47" t="s">
        <v>304</v>
      </c>
      <c r="G363" s="43">
        <v>114009</v>
      </c>
      <c r="H363" s="47" t="s">
        <v>306</v>
      </c>
      <c r="I363" s="155"/>
      <c r="J363" s="155"/>
      <c r="K363" s="48">
        <v>0</v>
      </c>
      <c r="L363" s="48">
        <v>0</v>
      </c>
      <c r="M363" s="237">
        <f>+IF(M4="n/a",0,IF(OR(M354&lt;&gt;0,M359&lt;&gt;0),$E$363*M9,0))</f>
        <v>0</v>
      </c>
      <c r="N363" s="237">
        <f t="shared" ref="N363:Q363" si="135">+IF(N4="n/a",0,IF(OR(N354&lt;&gt;0,N359&lt;&gt;0),$E$363*N9,0))</f>
        <v>0</v>
      </c>
      <c r="O363" s="237">
        <f t="shared" si="135"/>
        <v>0</v>
      </c>
      <c r="P363" s="237">
        <f t="shared" si="135"/>
        <v>0</v>
      </c>
      <c r="Q363" s="237">
        <f t="shared" si="135"/>
        <v>0</v>
      </c>
      <c r="R363" s="48">
        <v>0</v>
      </c>
      <c r="S363" s="48"/>
      <c r="T363" s="48">
        <f t="shared" si="131"/>
        <v>0</v>
      </c>
    </row>
    <row r="364" spans="2:20" x14ac:dyDescent="0.2">
      <c r="B364" s="43">
        <v>12</v>
      </c>
      <c r="C364" s="85">
        <v>11400912</v>
      </c>
      <c r="D364" s="47" t="str">
        <f>+IF(G364="","",VLOOKUP('AFE DETAILED'!C364,'AVERAGE COST'!$B:$D,3,0))</f>
        <v>DAY</v>
      </c>
      <c r="E364" s="48">
        <f>+IF(C364="",0,VLOOKUP(C364,'AVERAGE COST'!$B$3:$E$995,4))</f>
        <v>0</v>
      </c>
      <c r="F364" s="47" t="s">
        <v>305</v>
      </c>
      <c r="G364" s="43">
        <v>114009</v>
      </c>
      <c r="H364" s="47" t="s">
        <v>306</v>
      </c>
      <c r="I364" s="155"/>
      <c r="J364" s="155"/>
      <c r="K364" s="48">
        <v>0</v>
      </c>
      <c r="L364" s="48">
        <v>0</v>
      </c>
      <c r="M364" s="237">
        <f>+IF(M4="n/a",0,$E$364*'INITIAL DATA'!C81)</f>
        <v>0</v>
      </c>
      <c r="N364" s="237">
        <f>+IF(N4="n/a",0,$E$364*'INITIAL DATA'!D81)</f>
        <v>0</v>
      </c>
      <c r="O364" s="237">
        <f>+IF(O4="n/a",0,$E$364*'INITIAL DATA'!E81)</f>
        <v>0</v>
      </c>
      <c r="P364" s="237">
        <f>+IF(P4="n/a",0,$E$364*'INITIAL DATA'!F81)</f>
        <v>0</v>
      </c>
      <c r="Q364" s="237">
        <f>+IF(Q4="n/a",0,$E$364*'INITIAL DATA'!G81)</f>
        <v>0</v>
      </c>
      <c r="R364" s="48">
        <v>0</v>
      </c>
      <c r="S364" s="48"/>
      <c r="T364" s="48">
        <f t="shared" si="131"/>
        <v>0</v>
      </c>
    </row>
    <row r="365" spans="2:20" x14ac:dyDescent="0.2">
      <c r="B365" s="43">
        <v>13</v>
      </c>
      <c r="C365" s="155"/>
      <c r="D365" s="265"/>
      <c r="E365" s="266"/>
      <c r="F365" s="265"/>
      <c r="G365" s="43">
        <v>114009</v>
      </c>
      <c r="H365" s="47" t="s">
        <v>306</v>
      </c>
      <c r="I365" s="155"/>
      <c r="J365" s="155"/>
      <c r="K365" s="269">
        <v>0</v>
      </c>
      <c r="L365" s="269">
        <v>0</v>
      </c>
      <c r="M365" s="267"/>
      <c r="N365" s="267"/>
      <c r="O365" s="267"/>
      <c r="P365" s="267"/>
      <c r="Q365" s="267"/>
      <c r="R365" s="266"/>
      <c r="S365" s="48"/>
      <c r="T365" s="48">
        <f t="shared" si="131"/>
        <v>0</v>
      </c>
    </row>
    <row r="366" spans="2:20" x14ac:dyDescent="0.2">
      <c r="B366" s="43">
        <v>14</v>
      </c>
      <c r="C366" s="155"/>
      <c r="D366" s="265"/>
      <c r="E366" s="266"/>
      <c r="F366" s="265"/>
      <c r="G366" s="43">
        <v>114009</v>
      </c>
      <c r="H366" s="47" t="s">
        <v>306</v>
      </c>
      <c r="I366" s="155"/>
      <c r="J366" s="155"/>
      <c r="K366" s="269">
        <v>0</v>
      </c>
      <c r="L366" s="269">
        <v>0</v>
      </c>
      <c r="M366" s="267"/>
      <c r="N366" s="267"/>
      <c r="O366" s="267"/>
      <c r="P366" s="267"/>
      <c r="Q366" s="267"/>
      <c r="R366" s="266"/>
      <c r="S366" s="48"/>
      <c r="T366" s="48">
        <f t="shared" si="131"/>
        <v>0</v>
      </c>
    </row>
    <row r="367" spans="2:20" x14ac:dyDescent="0.2">
      <c r="B367" s="43">
        <v>15</v>
      </c>
      <c r="C367" s="155"/>
      <c r="D367" s="265"/>
      <c r="E367" s="266"/>
      <c r="F367" s="265"/>
      <c r="G367" s="43">
        <v>114009</v>
      </c>
      <c r="H367" s="47" t="s">
        <v>306</v>
      </c>
      <c r="I367" s="155"/>
      <c r="J367" s="155"/>
      <c r="K367" s="269">
        <v>0</v>
      </c>
      <c r="L367" s="269">
        <v>0</v>
      </c>
      <c r="M367" s="267"/>
      <c r="N367" s="267"/>
      <c r="O367" s="267"/>
      <c r="P367" s="267"/>
      <c r="Q367" s="267"/>
      <c r="R367" s="266"/>
      <c r="S367" s="48"/>
      <c r="T367" s="48">
        <f t="shared" si="131"/>
        <v>0</v>
      </c>
    </row>
    <row r="368" spans="2:20" x14ac:dyDescent="0.2">
      <c r="B368" s="43">
        <v>16</v>
      </c>
      <c r="C368" s="155"/>
      <c r="D368" s="265"/>
      <c r="E368" s="266"/>
      <c r="F368" s="265"/>
      <c r="G368" s="43">
        <v>114009</v>
      </c>
      <c r="H368" s="47" t="s">
        <v>306</v>
      </c>
      <c r="I368" s="155"/>
      <c r="J368" s="155"/>
      <c r="K368" s="269">
        <v>0</v>
      </c>
      <c r="L368" s="269">
        <v>0</v>
      </c>
      <c r="M368" s="267"/>
      <c r="N368" s="267"/>
      <c r="O368" s="267"/>
      <c r="P368" s="267"/>
      <c r="Q368" s="267"/>
      <c r="R368" s="266"/>
      <c r="S368" s="48"/>
      <c r="T368" s="48">
        <f t="shared" si="131"/>
        <v>0</v>
      </c>
    </row>
    <row r="369" spans="1:20" x14ac:dyDescent="0.2">
      <c r="B369" s="43">
        <v>17</v>
      </c>
      <c r="C369" s="155"/>
      <c r="D369" s="265"/>
      <c r="E369" s="266"/>
      <c r="F369" s="265"/>
      <c r="G369" s="43">
        <v>114009</v>
      </c>
      <c r="H369" s="47" t="s">
        <v>306</v>
      </c>
      <c r="I369" s="155"/>
      <c r="J369" s="155"/>
      <c r="K369" s="269">
        <v>0</v>
      </c>
      <c r="L369" s="269">
        <v>0</v>
      </c>
      <c r="M369" s="267"/>
      <c r="N369" s="267"/>
      <c r="O369" s="267"/>
      <c r="P369" s="267"/>
      <c r="Q369" s="267"/>
      <c r="R369" s="266"/>
      <c r="S369" s="48"/>
      <c r="T369" s="48">
        <f t="shared" si="131"/>
        <v>0</v>
      </c>
    </row>
    <row r="370" spans="1:20" s="26" customFormat="1" x14ac:dyDescent="0.2">
      <c r="A370" s="28"/>
      <c r="B370" s="66" t="s">
        <v>32</v>
      </c>
      <c r="C370" s="67"/>
      <c r="D370" s="68"/>
      <c r="E370" s="92" t="s">
        <v>308</v>
      </c>
      <c r="F370" s="106"/>
      <c r="G370" s="67"/>
      <c r="H370" s="68"/>
      <c r="I370" s="69"/>
      <c r="J370" s="69"/>
      <c r="K370" s="49">
        <f>SUM(K353:K369)</f>
        <v>0</v>
      </c>
      <c r="L370" s="49">
        <f t="shared" ref="L370:T370" si="136">SUM(L353:L369)</f>
        <v>0</v>
      </c>
      <c r="M370" s="238">
        <f t="shared" si="136"/>
        <v>0</v>
      </c>
      <c r="N370" s="238">
        <f t="shared" si="136"/>
        <v>0</v>
      </c>
      <c r="O370" s="238">
        <f t="shared" si="136"/>
        <v>0</v>
      </c>
      <c r="P370" s="238">
        <f t="shared" si="136"/>
        <v>0</v>
      </c>
      <c r="Q370" s="238">
        <f t="shared" si="136"/>
        <v>0</v>
      </c>
      <c r="R370" s="49">
        <f t="shared" si="136"/>
        <v>0</v>
      </c>
      <c r="S370" s="49"/>
      <c r="T370" s="49">
        <f t="shared" si="136"/>
        <v>0</v>
      </c>
    </row>
    <row r="371" spans="1:20" s="26" customFormat="1" x14ac:dyDescent="0.2">
      <c r="A371" s="28"/>
      <c r="B371" s="66" t="s">
        <v>298</v>
      </c>
      <c r="C371" s="67"/>
      <c r="D371" s="68"/>
      <c r="E371" s="92" t="s">
        <v>307</v>
      </c>
      <c r="F371" s="106"/>
      <c r="G371" s="67"/>
      <c r="H371" s="68"/>
      <c r="I371" s="69"/>
      <c r="J371" s="69"/>
      <c r="K371" s="70"/>
      <c r="L371" s="70"/>
      <c r="M371" s="242"/>
      <c r="N371" s="242"/>
      <c r="O371" s="242"/>
      <c r="P371" s="242"/>
      <c r="Q371" s="242"/>
      <c r="R371" s="70"/>
      <c r="S371" s="70"/>
      <c r="T371" s="71"/>
    </row>
    <row r="372" spans="1:20" x14ac:dyDescent="0.2">
      <c r="B372" s="43">
        <v>1</v>
      </c>
      <c r="C372" s="85">
        <v>11401001</v>
      </c>
      <c r="D372" s="47" t="str">
        <f>+IF(G372="","",VLOOKUP('AFE DETAILED'!C372,'AVERAGE COST'!$B:$D,3,0))</f>
        <v>UNIT</v>
      </c>
      <c r="E372" s="48">
        <f>+IF(C372="",0,VLOOKUP(C372,'AVERAGE COST'!$B$3:$E$995,4))</f>
        <v>0</v>
      </c>
      <c r="F372" s="47" t="s">
        <v>96</v>
      </c>
      <c r="G372" s="43">
        <v>114010</v>
      </c>
      <c r="H372" s="47" t="s">
        <v>307</v>
      </c>
      <c r="I372" s="155"/>
      <c r="J372" s="155"/>
      <c r="K372" s="48">
        <v>0</v>
      </c>
      <c r="L372" s="48">
        <v>0</v>
      </c>
      <c r="M372" s="237">
        <v>0</v>
      </c>
      <c r="N372" s="237">
        <v>0</v>
      </c>
      <c r="O372" s="237">
        <v>0</v>
      </c>
      <c r="P372" s="237">
        <v>0</v>
      </c>
      <c r="Q372" s="237">
        <v>0</v>
      </c>
      <c r="R372" s="48">
        <v>0</v>
      </c>
      <c r="S372" s="48"/>
      <c r="T372" s="48">
        <f t="shared" ref="T372:T377" si="137">SUM(K372:R372)</f>
        <v>0</v>
      </c>
    </row>
    <row r="373" spans="1:20" x14ac:dyDescent="0.2">
      <c r="B373" s="43">
        <v>2</v>
      </c>
      <c r="C373" s="85">
        <v>11401002</v>
      </c>
      <c r="D373" s="47" t="str">
        <f>+IF(G373="","",VLOOKUP('AFE DETAILED'!C373,'AVERAGE COST'!$B:$D,3,0))</f>
        <v>GLOBAL</v>
      </c>
      <c r="E373" s="48">
        <f>+IF(C373="",0,VLOOKUP(C373,'AVERAGE COST'!$B$3:$E$995,4))</f>
        <v>0</v>
      </c>
      <c r="F373" s="47" t="s">
        <v>474</v>
      </c>
      <c r="G373" s="43">
        <v>114010</v>
      </c>
      <c r="H373" s="47" t="s">
        <v>307</v>
      </c>
      <c r="I373" s="155"/>
      <c r="J373" s="155"/>
      <c r="K373" s="48">
        <v>0</v>
      </c>
      <c r="L373" s="48">
        <v>0</v>
      </c>
      <c r="M373" s="237">
        <v>0</v>
      </c>
      <c r="N373" s="237">
        <v>0</v>
      </c>
      <c r="O373" s="237">
        <v>0</v>
      </c>
      <c r="P373" s="237">
        <v>0</v>
      </c>
      <c r="Q373" s="237">
        <v>0</v>
      </c>
      <c r="R373" s="48">
        <f>+IF(R4="N/A",0,IF('INITIAL DATA'!H82="YES",E373,0))</f>
        <v>0</v>
      </c>
      <c r="S373" s="48"/>
      <c r="T373" s="48">
        <f t="shared" si="137"/>
        <v>0</v>
      </c>
    </row>
    <row r="374" spans="1:20" x14ac:dyDescent="0.2">
      <c r="B374" s="43">
        <v>3</v>
      </c>
      <c r="C374" s="85">
        <v>11401003</v>
      </c>
      <c r="D374" s="47" t="str">
        <f>+IF(G374="","",VLOOKUP('AFE DETAILED'!C374,'AVERAGE COST'!$B:$D,3,0))</f>
        <v>GLOBAL</v>
      </c>
      <c r="E374" s="48">
        <f>+IF(C374="",0,VLOOKUP(C374,'AVERAGE COST'!$B$3:$E$995,4))</f>
        <v>0</v>
      </c>
      <c r="F374" s="47" t="s">
        <v>203</v>
      </c>
      <c r="G374" s="43">
        <v>114010</v>
      </c>
      <c r="H374" s="47" t="s">
        <v>307</v>
      </c>
      <c r="I374" s="155"/>
      <c r="J374" s="155"/>
      <c r="K374" s="48">
        <v>0</v>
      </c>
      <c r="L374" s="48">
        <v>0</v>
      </c>
      <c r="M374" s="237">
        <v>0</v>
      </c>
      <c r="N374" s="237">
        <v>0</v>
      </c>
      <c r="O374" s="237">
        <v>0</v>
      </c>
      <c r="P374" s="237">
        <v>0</v>
      </c>
      <c r="Q374" s="237">
        <v>0</v>
      </c>
      <c r="R374" s="48">
        <f>+IF(R373=0,0,E374)</f>
        <v>0</v>
      </c>
      <c r="S374" s="48"/>
      <c r="T374" s="48">
        <f t="shared" si="137"/>
        <v>0</v>
      </c>
    </row>
    <row r="375" spans="1:20" x14ac:dyDescent="0.2">
      <c r="B375" s="43">
        <v>4</v>
      </c>
      <c r="C375" s="85">
        <v>11401004</v>
      </c>
      <c r="D375" s="47" t="str">
        <f>+IF(G375="","",VLOOKUP('AFE DETAILED'!C375,'AVERAGE COST'!$B:$D,3,0))</f>
        <v>GLOBAL</v>
      </c>
      <c r="E375" s="48">
        <f>+IF(C375="",0,VLOOKUP(C375,'AVERAGE COST'!$B$3:$E$995,4))</f>
        <v>0</v>
      </c>
      <c r="F375" s="47" t="s">
        <v>475</v>
      </c>
      <c r="G375" s="43">
        <v>114010</v>
      </c>
      <c r="H375" s="47" t="s">
        <v>307</v>
      </c>
      <c r="I375" s="155"/>
      <c r="J375" s="155"/>
      <c r="K375" s="48">
        <v>0</v>
      </c>
      <c r="L375" s="48">
        <v>0</v>
      </c>
      <c r="M375" s="237">
        <v>0</v>
      </c>
      <c r="N375" s="237">
        <v>0</v>
      </c>
      <c r="O375" s="237">
        <v>0</v>
      </c>
      <c r="P375" s="237">
        <v>0</v>
      </c>
      <c r="Q375" s="237">
        <v>0</v>
      </c>
      <c r="R375" s="48">
        <f>+IF(R373=0,0,E375)</f>
        <v>0</v>
      </c>
      <c r="S375" s="48"/>
      <c r="T375" s="48">
        <f t="shared" si="137"/>
        <v>0</v>
      </c>
    </row>
    <row r="376" spans="1:20" x14ac:dyDescent="0.2">
      <c r="B376" s="43">
        <v>5</v>
      </c>
      <c r="C376" s="85">
        <v>11401005</v>
      </c>
      <c r="D376" s="47" t="str">
        <f>+IF(G376="","",VLOOKUP('AFE DETAILED'!C376,'AVERAGE COST'!$B:$D,3,0))</f>
        <v>DAY</v>
      </c>
      <c r="E376" s="48">
        <f>+IF(C376="",0,VLOOKUP(C376,'AVERAGE COST'!$B$3:$E$995,4))</f>
        <v>0</v>
      </c>
      <c r="F376" s="47" t="s">
        <v>237</v>
      </c>
      <c r="G376" s="43">
        <v>114010</v>
      </c>
      <c r="H376" s="47" t="s">
        <v>307</v>
      </c>
      <c r="I376" s="155"/>
      <c r="J376" s="155"/>
      <c r="K376" s="48">
        <v>0</v>
      </c>
      <c r="L376" s="48">
        <v>0</v>
      </c>
      <c r="M376" s="237">
        <v>0</v>
      </c>
      <c r="N376" s="237">
        <v>0</v>
      </c>
      <c r="O376" s="237">
        <v>0</v>
      </c>
      <c r="P376" s="237">
        <v>0</v>
      </c>
      <c r="Q376" s="237">
        <v>0</v>
      </c>
      <c r="R376" s="48">
        <f>+IF(R373=0,0,E376*R9)</f>
        <v>0</v>
      </c>
      <c r="S376" s="48"/>
      <c r="T376" s="48">
        <f t="shared" si="137"/>
        <v>0</v>
      </c>
    </row>
    <row r="377" spans="1:20" x14ac:dyDescent="0.2">
      <c r="B377" s="43">
        <v>6</v>
      </c>
      <c r="C377" s="85">
        <v>11401006</v>
      </c>
      <c r="D377" s="47" t="str">
        <f>+IF(G377="","",VLOOKUP('AFE DETAILED'!C377,'AVERAGE COST'!$B:$D,3,0))</f>
        <v>DAY</v>
      </c>
      <c r="E377" s="48">
        <f>+IF(C377="",0,VLOOKUP(C377,'AVERAGE COST'!$B$3:$E$995,4))</f>
        <v>0</v>
      </c>
      <c r="F377" s="47" t="s">
        <v>238</v>
      </c>
      <c r="G377" s="43">
        <v>114010</v>
      </c>
      <c r="H377" s="47" t="s">
        <v>307</v>
      </c>
      <c r="I377" s="155"/>
      <c r="J377" s="155"/>
      <c r="K377" s="48">
        <v>0</v>
      </c>
      <c r="L377" s="48">
        <v>0</v>
      </c>
      <c r="M377" s="237">
        <v>0</v>
      </c>
      <c r="N377" s="237">
        <v>0</v>
      </c>
      <c r="O377" s="237">
        <v>0</v>
      </c>
      <c r="P377" s="237">
        <v>0</v>
      </c>
      <c r="Q377" s="237">
        <v>0</v>
      </c>
      <c r="R377" s="48">
        <f>+IF(R373=0,0,E377*R9)</f>
        <v>0</v>
      </c>
      <c r="S377" s="48"/>
      <c r="T377" s="48">
        <f t="shared" si="137"/>
        <v>0</v>
      </c>
    </row>
    <row r="378" spans="1:20" s="26" customFormat="1" x14ac:dyDescent="0.2">
      <c r="A378" s="28"/>
      <c r="B378" s="66" t="s">
        <v>32</v>
      </c>
      <c r="C378" s="67"/>
      <c r="D378" s="68"/>
      <c r="E378" s="92" t="s">
        <v>310</v>
      </c>
      <c r="F378" s="106"/>
      <c r="G378" s="67"/>
      <c r="H378" s="68"/>
      <c r="I378" s="69"/>
      <c r="J378" s="69"/>
      <c r="K378" s="49">
        <f>SUM(K372:K377)</f>
        <v>0</v>
      </c>
      <c r="L378" s="49">
        <f t="shared" ref="L378:T378" si="138">SUM(L372:L377)</f>
        <v>0</v>
      </c>
      <c r="M378" s="238">
        <f t="shared" si="138"/>
        <v>0</v>
      </c>
      <c r="N378" s="238">
        <f t="shared" si="138"/>
        <v>0</v>
      </c>
      <c r="O378" s="238">
        <f t="shared" si="138"/>
        <v>0</v>
      </c>
      <c r="P378" s="238">
        <f t="shared" si="138"/>
        <v>0</v>
      </c>
      <c r="Q378" s="238">
        <f t="shared" si="138"/>
        <v>0</v>
      </c>
      <c r="R378" s="49">
        <f t="shared" si="138"/>
        <v>0</v>
      </c>
      <c r="S378" s="49"/>
      <c r="T378" s="49">
        <f t="shared" si="138"/>
        <v>0</v>
      </c>
    </row>
    <row r="379" spans="1:20" s="26" customFormat="1" x14ac:dyDescent="0.2">
      <c r="A379" s="28"/>
      <c r="B379" s="66" t="s">
        <v>309</v>
      </c>
      <c r="C379" s="67"/>
      <c r="D379" s="68"/>
      <c r="E379" s="92" t="s">
        <v>685</v>
      </c>
      <c r="F379" s="106"/>
      <c r="G379" s="67"/>
      <c r="H379" s="68"/>
      <c r="I379" s="69"/>
      <c r="J379" s="69"/>
      <c r="K379" s="70"/>
      <c r="L379" s="70"/>
      <c r="M379" s="242"/>
      <c r="N379" s="242"/>
      <c r="O379" s="242"/>
      <c r="P379" s="242"/>
      <c r="Q379" s="242"/>
      <c r="R379" s="70"/>
      <c r="S379" s="70"/>
      <c r="T379" s="71"/>
    </row>
    <row r="380" spans="1:20" x14ac:dyDescent="0.2">
      <c r="B380" s="43">
        <v>1</v>
      </c>
      <c r="C380" s="43">
        <v>11401101</v>
      </c>
      <c r="D380" s="47" t="str">
        <f>+IF(G380="","",VLOOKUP('AFE DETAILED'!C380,'AVERAGE COST'!$B:$D,3,0))</f>
        <v>DAY</v>
      </c>
      <c r="E380" s="48">
        <f>+IF(C380="",0,VLOOKUP(C380,'AVERAGE COST'!$B$3:$E$995,4))</f>
        <v>0</v>
      </c>
      <c r="F380" s="47" t="s">
        <v>311</v>
      </c>
      <c r="G380" s="43">
        <v>114011</v>
      </c>
      <c r="H380" s="47" t="s">
        <v>312</v>
      </c>
      <c r="I380" s="155"/>
      <c r="J380" s="155"/>
      <c r="K380" s="48">
        <v>0</v>
      </c>
      <c r="L380" s="48">
        <v>0</v>
      </c>
      <c r="M380" s="237">
        <v>0</v>
      </c>
      <c r="N380" s="237">
        <v>0</v>
      </c>
      <c r="O380" s="237">
        <v>0</v>
      </c>
      <c r="P380" s="237">
        <v>0</v>
      </c>
      <c r="Q380" s="237">
        <v>0</v>
      </c>
      <c r="R380" s="48">
        <f>+IF(R4="n/a",0,E380*'INITIAL DATA'!H83)</f>
        <v>0</v>
      </c>
      <c r="S380" s="48"/>
      <c r="T380" s="48">
        <f t="shared" ref="T380:T392" si="139">SUM(K380:R380)</f>
        <v>0</v>
      </c>
    </row>
    <row r="381" spans="1:20" x14ac:dyDescent="0.2">
      <c r="B381" s="43">
        <v>2</v>
      </c>
      <c r="C381" s="43">
        <v>11401102</v>
      </c>
      <c r="D381" s="47" t="str">
        <f>+IF(G381="","",VLOOKUP('AFE DETAILED'!C381,'AVERAGE COST'!$B:$D,3,0))</f>
        <v>DAY</v>
      </c>
      <c r="E381" s="48">
        <f>+IF(C381="",0,VLOOKUP(C381,'AVERAGE COST'!$B$3:$E$995,4))</f>
        <v>0</v>
      </c>
      <c r="F381" s="47" t="s">
        <v>237</v>
      </c>
      <c r="G381" s="43">
        <v>114011</v>
      </c>
      <c r="H381" s="47" t="s">
        <v>312</v>
      </c>
      <c r="I381" s="155"/>
      <c r="J381" s="155"/>
      <c r="K381" s="48">
        <v>0</v>
      </c>
      <c r="L381" s="48">
        <v>0</v>
      </c>
      <c r="M381" s="237">
        <v>0</v>
      </c>
      <c r="N381" s="237">
        <v>0</v>
      </c>
      <c r="O381" s="237">
        <v>0</v>
      </c>
      <c r="P381" s="237">
        <v>0</v>
      </c>
      <c r="Q381" s="237">
        <v>0</v>
      </c>
      <c r="R381" s="48">
        <f>+IF(R4="n/a",0,E381*'INITIAL DATA'!H83)</f>
        <v>0</v>
      </c>
      <c r="S381" s="48"/>
      <c r="T381" s="48">
        <f t="shared" si="139"/>
        <v>0</v>
      </c>
    </row>
    <row r="382" spans="1:20" x14ac:dyDescent="0.2">
      <c r="B382" s="43">
        <v>3</v>
      </c>
      <c r="C382" s="43">
        <v>11401103</v>
      </c>
      <c r="D382" s="47" t="str">
        <f>+IF(G382="","",VLOOKUP('AFE DETAILED'!C382,'AVERAGE COST'!$B:$D,3,0))</f>
        <v>GLOBAL</v>
      </c>
      <c r="E382" s="48">
        <f>+IF(C382="",0,VLOOKUP(C382,'AVERAGE COST'!$B$3:$E$995,4))</f>
        <v>0</v>
      </c>
      <c r="F382" s="47" t="s">
        <v>203</v>
      </c>
      <c r="G382" s="43">
        <v>114011</v>
      </c>
      <c r="H382" s="47" t="s">
        <v>312</v>
      </c>
      <c r="I382" s="155"/>
      <c r="J382" s="155"/>
      <c r="K382" s="48">
        <v>0</v>
      </c>
      <c r="L382" s="48">
        <v>0</v>
      </c>
      <c r="M382" s="237">
        <v>0</v>
      </c>
      <c r="N382" s="237">
        <v>0</v>
      </c>
      <c r="O382" s="237">
        <v>0</v>
      </c>
      <c r="P382" s="237">
        <v>0</v>
      </c>
      <c r="Q382" s="237">
        <v>0</v>
      </c>
      <c r="R382" s="48">
        <f>+IF(R381=0,0,E382)</f>
        <v>0</v>
      </c>
      <c r="S382" s="48"/>
      <c r="T382" s="48">
        <f t="shared" si="139"/>
        <v>0</v>
      </c>
    </row>
    <row r="383" spans="1:20" x14ac:dyDescent="0.2">
      <c r="B383" s="43">
        <v>4</v>
      </c>
      <c r="C383" s="43">
        <v>11401104</v>
      </c>
      <c r="D383" s="47" t="str">
        <f>+IF(G383="","",VLOOKUP('AFE DETAILED'!C383,'AVERAGE COST'!$B:$D,3,0))</f>
        <v>GLOBAL</v>
      </c>
      <c r="E383" s="48">
        <f>+IF(C383="",0,VLOOKUP(C383,'AVERAGE COST'!$B$3:$E$995,4))</f>
        <v>0</v>
      </c>
      <c r="F383" s="47" t="s">
        <v>98</v>
      </c>
      <c r="G383" s="43">
        <v>114011</v>
      </c>
      <c r="H383" s="47" t="s">
        <v>312</v>
      </c>
      <c r="I383" s="155"/>
      <c r="J383" s="155"/>
      <c r="K383" s="48">
        <v>0</v>
      </c>
      <c r="L383" s="48">
        <v>0</v>
      </c>
      <c r="M383" s="237">
        <v>0</v>
      </c>
      <c r="N383" s="237">
        <v>0</v>
      </c>
      <c r="O383" s="237">
        <v>0</v>
      </c>
      <c r="P383" s="237">
        <v>0</v>
      </c>
      <c r="Q383" s="237">
        <v>0</v>
      </c>
      <c r="R383" s="48">
        <v>0</v>
      </c>
      <c r="S383" s="48"/>
      <c r="T383" s="48">
        <f t="shared" si="139"/>
        <v>0</v>
      </c>
    </row>
    <row r="384" spans="1:20" x14ac:dyDescent="0.2">
      <c r="B384" s="43">
        <v>5</v>
      </c>
      <c r="C384" s="155"/>
      <c r="D384" s="265"/>
      <c r="E384" s="266"/>
      <c r="F384" s="265"/>
      <c r="G384" s="43">
        <v>114011</v>
      </c>
      <c r="H384" s="47" t="s">
        <v>312</v>
      </c>
      <c r="I384" s="155"/>
      <c r="J384" s="155"/>
      <c r="K384" s="269">
        <v>0</v>
      </c>
      <c r="L384" s="269">
        <v>0</v>
      </c>
      <c r="M384" s="267"/>
      <c r="N384" s="267"/>
      <c r="O384" s="267"/>
      <c r="P384" s="267"/>
      <c r="Q384" s="267"/>
      <c r="R384" s="266"/>
      <c r="S384" s="48"/>
      <c r="T384" s="48">
        <f t="shared" si="139"/>
        <v>0</v>
      </c>
    </row>
    <row r="385" spans="1:20" x14ac:dyDescent="0.2">
      <c r="B385" s="43">
        <v>6</v>
      </c>
      <c r="C385" s="155"/>
      <c r="D385" s="265"/>
      <c r="E385" s="266"/>
      <c r="F385" s="265"/>
      <c r="G385" s="43">
        <v>114011</v>
      </c>
      <c r="H385" s="47" t="s">
        <v>312</v>
      </c>
      <c r="I385" s="155"/>
      <c r="J385" s="155"/>
      <c r="K385" s="269">
        <v>0</v>
      </c>
      <c r="L385" s="269">
        <v>0</v>
      </c>
      <c r="M385" s="267"/>
      <c r="N385" s="267"/>
      <c r="O385" s="267"/>
      <c r="P385" s="267"/>
      <c r="Q385" s="267"/>
      <c r="R385" s="266"/>
      <c r="S385" s="48"/>
      <c r="T385" s="48">
        <f t="shared" si="139"/>
        <v>0</v>
      </c>
    </row>
    <row r="386" spans="1:20" x14ac:dyDescent="0.2">
      <c r="B386" s="43">
        <v>7</v>
      </c>
      <c r="C386" s="155"/>
      <c r="D386" s="265"/>
      <c r="E386" s="266"/>
      <c r="F386" s="265"/>
      <c r="G386" s="43">
        <v>114011</v>
      </c>
      <c r="H386" s="47" t="s">
        <v>312</v>
      </c>
      <c r="I386" s="155"/>
      <c r="J386" s="155"/>
      <c r="K386" s="269">
        <v>0</v>
      </c>
      <c r="L386" s="269">
        <v>0</v>
      </c>
      <c r="M386" s="267"/>
      <c r="N386" s="267"/>
      <c r="O386" s="267"/>
      <c r="P386" s="267"/>
      <c r="Q386" s="267"/>
      <c r="R386" s="266"/>
      <c r="S386" s="48"/>
      <c r="T386" s="48">
        <f t="shared" si="139"/>
        <v>0</v>
      </c>
    </row>
    <row r="387" spans="1:20" x14ac:dyDescent="0.2">
      <c r="B387" s="43">
        <v>8</v>
      </c>
      <c r="C387" s="155"/>
      <c r="D387" s="265"/>
      <c r="E387" s="266"/>
      <c r="F387" s="265"/>
      <c r="G387" s="43">
        <v>114011</v>
      </c>
      <c r="H387" s="47" t="s">
        <v>312</v>
      </c>
      <c r="I387" s="155"/>
      <c r="J387" s="155"/>
      <c r="K387" s="269">
        <v>0</v>
      </c>
      <c r="L387" s="269">
        <v>0</v>
      </c>
      <c r="M387" s="267"/>
      <c r="N387" s="267"/>
      <c r="O387" s="267"/>
      <c r="P387" s="267"/>
      <c r="Q387" s="267"/>
      <c r="R387" s="266"/>
      <c r="S387" s="48"/>
      <c r="T387" s="48">
        <f t="shared" si="139"/>
        <v>0</v>
      </c>
    </row>
    <row r="388" spans="1:20" x14ac:dyDescent="0.2">
      <c r="B388" s="43">
        <v>9</v>
      </c>
      <c r="C388" s="155"/>
      <c r="D388" s="265"/>
      <c r="E388" s="266"/>
      <c r="F388" s="265"/>
      <c r="G388" s="43">
        <v>114011</v>
      </c>
      <c r="H388" s="47" t="s">
        <v>312</v>
      </c>
      <c r="I388" s="155"/>
      <c r="J388" s="155"/>
      <c r="K388" s="269">
        <v>0</v>
      </c>
      <c r="L388" s="269">
        <v>0</v>
      </c>
      <c r="M388" s="267"/>
      <c r="N388" s="267"/>
      <c r="O388" s="267"/>
      <c r="P388" s="267"/>
      <c r="Q388" s="267"/>
      <c r="R388" s="266"/>
      <c r="S388" s="48"/>
      <c r="T388" s="48">
        <f t="shared" si="139"/>
        <v>0</v>
      </c>
    </row>
    <row r="389" spans="1:20" x14ac:dyDescent="0.2">
      <c r="B389" s="43">
        <v>10</v>
      </c>
      <c r="C389" s="155"/>
      <c r="D389" s="265"/>
      <c r="E389" s="266"/>
      <c r="F389" s="265"/>
      <c r="G389" s="43">
        <v>114011</v>
      </c>
      <c r="H389" s="47" t="s">
        <v>312</v>
      </c>
      <c r="I389" s="155"/>
      <c r="J389" s="155"/>
      <c r="K389" s="269">
        <v>0</v>
      </c>
      <c r="L389" s="269">
        <v>0</v>
      </c>
      <c r="M389" s="267"/>
      <c r="N389" s="267"/>
      <c r="O389" s="267"/>
      <c r="P389" s="267"/>
      <c r="Q389" s="267"/>
      <c r="R389" s="266"/>
      <c r="S389" s="48"/>
      <c r="T389" s="48">
        <f t="shared" si="139"/>
        <v>0</v>
      </c>
    </row>
    <row r="390" spans="1:20" x14ac:dyDescent="0.2">
      <c r="B390" s="43">
        <v>11</v>
      </c>
      <c r="C390" s="155"/>
      <c r="D390" s="265"/>
      <c r="E390" s="266"/>
      <c r="F390" s="265"/>
      <c r="G390" s="43">
        <v>114011</v>
      </c>
      <c r="H390" s="47" t="s">
        <v>312</v>
      </c>
      <c r="I390" s="155"/>
      <c r="J390" s="155"/>
      <c r="K390" s="269">
        <v>0</v>
      </c>
      <c r="L390" s="269">
        <v>0</v>
      </c>
      <c r="M390" s="267"/>
      <c r="N390" s="267"/>
      <c r="O390" s="267"/>
      <c r="P390" s="267"/>
      <c r="Q390" s="267"/>
      <c r="R390" s="266"/>
      <c r="S390" s="48"/>
      <c r="T390" s="48">
        <f t="shared" si="139"/>
        <v>0</v>
      </c>
    </row>
    <row r="391" spans="1:20" x14ac:dyDescent="0.2">
      <c r="B391" s="43">
        <v>12</v>
      </c>
      <c r="C391" s="155"/>
      <c r="D391" s="265"/>
      <c r="E391" s="266"/>
      <c r="F391" s="265"/>
      <c r="G391" s="43">
        <v>114011</v>
      </c>
      <c r="H391" s="47" t="s">
        <v>312</v>
      </c>
      <c r="I391" s="155"/>
      <c r="J391" s="155"/>
      <c r="K391" s="269">
        <v>0</v>
      </c>
      <c r="L391" s="269">
        <v>0</v>
      </c>
      <c r="M391" s="267"/>
      <c r="N391" s="267"/>
      <c r="O391" s="267"/>
      <c r="P391" s="267"/>
      <c r="Q391" s="267"/>
      <c r="R391" s="266"/>
      <c r="S391" s="48"/>
      <c r="T391" s="48">
        <f t="shared" si="139"/>
        <v>0</v>
      </c>
    </row>
    <row r="392" spans="1:20" x14ac:dyDescent="0.2">
      <c r="B392" s="43">
        <v>13</v>
      </c>
      <c r="C392" s="155"/>
      <c r="D392" s="265"/>
      <c r="E392" s="266"/>
      <c r="F392" s="265"/>
      <c r="G392" s="43">
        <v>114011</v>
      </c>
      <c r="H392" s="47" t="s">
        <v>312</v>
      </c>
      <c r="I392" s="155"/>
      <c r="J392" s="155"/>
      <c r="K392" s="269">
        <v>0</v>
      </c>
      <c r="L392" s="269">
        <v>0</v>
      </c>
      <c r="M392" s="267"/>
      <c r="N392" s="267"/>
      <c r="O392" s="267"/>
      <c r="P392" s="267"/>
      <c r="Q392" s="267"/>
      <c r="R392" s="266"/>
      <c r="S392" s="48"/>
      <c r="T392" s="48">
        <f t="shared" si="139"/>
        <v>0</v>
      </c>
    </row>
    <row r="393" spans="1:20" s="26" customFormat="1" x14ac:dyDescent="0.2">
      <c r="A393" s="28"/>
      <c r="B393" s="66" t="s">
        <v>32</v>
      </c>
      <c r="C393" s="67"/>
      <c r="D393" s="68"/>
      <c r="E393" s="92" t="s">
        <v>686</v>
      </c>
      <c r="F393" s="106"/>
      <c r="G393" s="67"/>
      <c r="H393" s="68"/>
      <c r="I393" s="69"/>
      <c r="J393" s="69"/>
      <c r="K393" s="49">
        <f>SUM(K380:K392)</f>
        <v>0</v>
      </c>
      <c r="L393" s="49">
        <f t="shared" ref="L393:T393" si="140">SUM(L380:L392)</f>
        <v>0</v>
      </c>
      <c r="M393" s="238">
        <f t="shared" si="140"/>
        <v>0</v>
      </c>
      <c r="N393" s="238">
        <f t="shared" si="140"/>
        <v>0</v>
      </c>
      <c r="O393" s="238">
        <f t="shared" si="140"/>
        <v>0</v>
      </c>
      <c r="P393" s="238">
        <f t="shared" si="140"/>
        <v>0</v>
      </c>
      <c r="Q393" s="238">
        <f t="shared" si="140"/>
        <v>0</v>
      </c>
      <c r="R393" s="49">
        <f t="shared" si="140"/>
        <v>0</v>
      </c>
      <c r="S393" s="49"/>
      <c r="T393" s="49">
        <f t="shared" si="140"/>
        <v>0</v>
      </c>
    </row>
    <row r="394" spans="1:20" s="26" customFormat="1" x14ac:dyDescent="0.2">
      <c r="A394" s="28"/>
      <c r="B394" s="66" t="s">
        <v>313</v>
      </c>
      <c r="C394" s="67"/>
      <c r="D394" s="68"/>
      <c r="E394" s="92" t="s">
        <v>319</v>
      </c>
      <c r="F394" s="106"/>
      <c r="G394" s="67"/>
      <c r="H394" s="68"/>
      <c r="I394" s="69"/>
      <c r="J394" s="69"/>
      <c r="K394" s="70"/>
      <c r="L394" s="70"/>
      <c r="M394" s="242"/>
      <c r="N394" s="242"/>
      <c r="O394" s="242"/>
      <c r="P394" s="242"/>
      <c r="Q394" s="242"/>
      <c r="R394" s="70"/>
      <c r="S394" s="70"/>
      <c r="T394" s="71"/>
    </row>
    <row r="395" spans="1:20" x14ac:dyDescent="0.2">
      <c r="B395" s="43">
        <v>1</v>
      </c>
      <c r="C395" s="85">
        <v>11401201</v>
      </c>
      <c r="D395" s="47" t="str">
        <f>+IF(G395="","",VLOOKUP('AFE DETAILED'!C395,'AVERAGE COST'!$B:$D,3,0))</f>
        <v>DAY</v>
      </c>
      <c r="E395" s="48">
        <f>+IF(C395="",0,VLOOKUP(C395,'AVERAGE COST'!$B$3:$E$995,4))</f>
        <v>0</v>
      </c>
      <c r="F395" s="47" t="s">
        <v>315</v>
      </c>
      <c r="G395" s="43">
        <v>114012</v>
      </c>
      <c r="H395" s="47" t="s">
        <v>319</v>
      </c>
      <c r="I395" s="155"/>
      <c r="J395" s="155"/>
      <c r="K395" s="48">
        <v>0</v>
      </c>
      <c r="L395" s="48">
        <v>0</v>
      </c>
      <c r="M395" s="237">
        <v>0</v>
      </c>
      <c r="N395" s="237">
        <v>0</v>
      </c>
      <c r="O395" s="237">
        <v>0</v>
      </c>
      <c r="P395" s="237">
        <v>0</v>
      </c>
      <c r="Q395" s="237">
        <v>0</v>
      </c>
      <c r="R395" s="48">
        <f>+IF(R4="N/A",0,IF('INITIAL DATA'!H84="yes",E395*ROUNDUP(R9,0),0))</f>
        <v>0</v>
      </c>
      <c r="S395" s="48"/>
      <c r="T395" s="48">
        <f t="shared" ref="T395:T402" si="141">SUM(K395:R395)</f>
        <v>0</v>
      </c>
    </row>
    <row r="396" spans="1:20" x14ac:dyDescent="0.2">
      <c r="B396" s="43">
        <v>2</v>
      </c>
      <c r="C396" s="85">
        <v>11401202</v>
      </c>
      <c r="D396" s="47" t="str">
        <f>+IF(G396="","",VLOOKUP('AFE DETAILED'!C396,'AVERAGE COST'!$B:$D,3,0))</f>
        <v>DAY</v>
      </c>
      <c r="E396" s="48">
        <f>+IF(C396="",0,VLOOKUP(C396,'AVERAGE COST'!$B$3:$E$995,4))</f>
        <v>0</v>
      </c>
      <c r="F396" s="47" t="s">
        <v>316</v>
      </c>
      <c r="G396" s="43">
        <v>114012</v>
      </c>
      <c r="H396" s="47" t="s">
        <v>319</v>
      </c>
      <c r="I396" s="155"/>
      <c r="J396" s="155"/>
      <c r="K396" s="48">
        <v>0</v>
      </c>
      <c r="L396" s="48">
        <v>0</v>
      </c>
      <c r="M396" s="237">
        <v>0</v>
      </c>
      <c r="N396" s="237">
        <v>0</v>
      </c>
      <c r="O396" s="237">
        <v>0</v>
      </c>
      <c r="P396" s="237">
        <v>0</v>
      </c>
      <c r="Q396" s="237">
        <v>0</v>
      </c>
      <c r="R396" s="48">
        <f>+IF(R395=0,0,E396*'INITIAL DATA'!H85)</f>
        <v>0</v>
      </c>
      <c r="S396" s="48"/>
      <c r="T396" s="48">
        <f t="shared" si="141"/>
        <v>0</v>
      </c>
    </row>
    <row r="397" spans="1:20" x14ac:dyDescent="0.2">
      <c r="B397" s="43">
        <v>3</v>
      </c>
      <c r="C397" s="85">
        <v>11401203</v>
      </c>
      <c r="D397" s="47" t="str">
        <f>+IF(G397="","",VLOOKUP('AFE DETAILED'!C397,'AVERAGE COST'!$B:$D,3,0))</f>
        <v>UNIT</v>
      </c>
      <c r="E397" s="48">
        <f>+IF(C397="",0,VLOOKUP(C397,'AVERAGE COST'!$B$3:$E$995,4))</f>
        <v>0</v>
      </c>
      <c r="F397" s="47" t="s">
        <v>96</v>
      </c>
      <c r="G397" s="43">
        <v>114012</v>
      </c>
      <c r="H397" s="47" t="s">
        <v>319</v>
      </c>
      <c r="I397" s="155"/>
      <c r="J397" s="155"/>
      <c r="K397" s="48">
        <v>0</v>
      </c>
      <c r="L397" s="48">
        <v>0</v>
      </c>
      <c r="M397" s="237">
        <v>0</v>
      </c>
      <c r="N397" s="237">
        <v>0</v>
      </c>
      <c r="O397" s="237">
        <v>0</v>
      </c>
      <c r="P397" s="237">
        <v>0</v>
      </c>
      <c r="Q397" s="237">
        <v>0</v>
      </c>
      <c r="R397" s="48">
        <v>0</v>
      </c>
      <c r="S397" s="48"/>
      <c r="T397" s="48">
        <f t="shared" si="141"/>
        <v>0</v>
      </c>
    </row>
    <row r="398" spans="1:20" x14ac:dyDescent="0.2">
      <c r="B398" s="43">
        <v>4</v>
      </c>
      <c r="C398" s="85">
        <v>11401204</v>
      </c>
      <c r="D398" s="47" t="str">
        <f>+IF(G398="","",VLOOKUP('AFE DETAILED'!C398,'AVERAGE COST'!$B:$D,3,0))</f>
        <v>GLOBAL</v>
      </c>
      <c r="E398" s="48">
        <f>+IF(C398="",0,VLOOKUP(C398,'AVERAGE COST'!$B$3:$E$995,4))</f>
        <v>0</v>
      </c>
      <c r="F398" s="47" t="s">
        <v>203</v>
      </c>
      <c r="G398" s="43">
        <v>114012</v>
      </c>
      <c r="H398" s="47" t="s">
        <v>319</v>
      </c>
      <c r="I398" s="155"/>
      <c r="J398" s="155"/>
      <c r="K398" s="48">
        <v>0</v>
      </c>
      <c r="L398" s="48">
        <v>0</v>
      </c>
      <c r="M398" s="237">
        <v>0</v>
      </c>
      <c r="N398" s="237">
        <v>0</v>
      </c>
      <c r="O398" s="237">
        <v>0</v>
      </c>
      <c r="P398" s="237">
        <v>0</v>
      </c>
      <c r="Q398" s="237">
        <v>0</v>
      </c>
      <c r="R398" s="48">
        <f>+IF(OR(R395&lt;&gt;0,R401&lt;&gt;0),E398,0)</f>
        <v>0</v>
      </c>
      <c r="S398" s="48"/>
      <c r="T398" s="48">
        <f t="shared" si="141"/>
        <v>0</v>
      </c>
    </row>
    <row r="399" spans="1:20" x14ac:dyDescent="0.2">
      <c r="B399" s="43">
        <v>5</v>
      </c>
      <c r="C399" s="85">
        <v>11401205</v>
      </c>
      <c r="D399" s="47" t="str">
        <f>+IF(G399="","",VLOOKUP('AFE DETAILED'!C399,'AVERAGE COST'!$B:$D,3,0))</f>
        <v>DAY</v>
      </c>
      <c r="E399" s="48">
        <f>+IF(C399="",0,VLOOKUP(C399,'AVERAGE COST'!$B$3:$E$995,4))</f>
        <v>0</v>
      </c>
      <c r="F399" s="47" t="s">
        <v>237</v>
      </c>
      <c r="G399" s="43">
        <v>114012</v>
      </c>
      <c r="H399" s="47" t="s">
        <v>319</v>
      </c>
      <c r="I399" s="155"/>
      <c r="J399" s="155"/>
      <c r="K399" s="48">
        <v>0</v>
      </c>
      <c r="L399" s="48">
        <v>0</v>
      </c>
      <c r="M399" s="237">
        <v>0</v>
      </c>
      <c r="N399" s="237">
        <v>0</v>
      </c>
      <c r="O399" s="237">
        <v>0</v>
      </c>
      <c r="P399" s="237">
        <v>0</v>
      </c>
      <c r="Q399" s="237">
        <v>0</v>
      </c>
      <c r="R399" s="48">
        <f>+IF(OR(R395&lt;&gt;0,R401&lt;&gt;0),E399*ROUNDUP(R9,0),0)</f>
        <v>0</v>
      </c>
      <c r="S399" s="48"/>
      <c r="T399" s="48">
        <f t="shared" si="141"/>
        <v>0</v>
      </c>
    </row>
    <row r="400" spans="1:20" x14ac:dyDescent="0.2">
      <c r="B400" s="43">
        <v>6</v>
      </c>
      <c r="C400" s="85">
        <v>11401206</v>
      </c>
      <c r="D400" s="47" t="str">
        <f>+IF(G400="","",VLOOKUP('AFE DETAILED'!C400,'AVERAGE COST'!$B:$D,3,0))</f>
        <v>DAY</v>
      </c>
      <c r="E400" s="48">
        <f>+IF(C400="",0,VLOOKUP(C400,'AVERAGE COST'!$B$3:$E$995,4))</f>
        <v>0</v>
      </c>
      <c r="F400" s="47" t="s">
        <v>238</v>
      </c>
      <c r="G400" s="43">
        <v>114012</v>
      </c>
      <c r="H400" s="47" t="s">
        <v>319</v>
      </c>
      <c r="I400" s="155"/>
      <c r="J400" s="155"/>
      <c r="K400" s="48">
        <v>0</v>
      </c>
      <c r="L400" s="48">
        <v>0</v>
      </c>
      <c r="M400" s="237">
        <v>0</v>
      </c>
      <c r="N400" s="237">
        <v>0</v>
      </c>
      <c r="O400" s="237">
        <v>0</v>
      </c>
      <c r="P400" s="237">
        <v>0</v>
      </c>
      <c r="Q400" s="237">
        <v>0</v>
      </c>
      <c r="R400" s="48">
        <f>+IF(OR(R395&lt;&gt;0,R401&lt;&gt;0),E400*ROUNDUP(R9,0),0)</f>
        <v>0</v>
      </c>
      <c r="S400" s="48"/>
      <c r="T400" s="48">
        <f t="shared" si="141"/>
        <v>0</v>
      </c>
    </row>
    <row r="401" spans="1:20" x14ac:dyDescent="0.2">
      <c r="B401" s="43">
        <v>7</v>
      </c>
      <c r="C401" s="85">
        <v>11401207</v>
      </c>
      <c r="D401" s="47" t="str">
        <f>+IF(G401="","",VLOOKUP('AFE DETAILED'!C401,'AVERAGE COST'!$B:$D,3,0))</f>
        <v>DAY</v>
      </c>
      <c r="E401" s="48">
        <f>+IF(C401="",0,VLOOKUP(C401,'AVERAGE COST'!$B$3:$E$995,4))</f>
        <v>0</v>
      </c>
      <c r="F401" s="47" t="s">
        <v>317</v>
      </c>
      <c r="G401" s="43">
        <v>114012</v>
      </c>
      <c r="H401" s="47" t="s">
        <v>319</v>
      </c>
      <c r="I401" s="155"/>
      <c r="J401" s="155"/>
      <c r="K401" s="48">
        <v>0</v>
      </c>
      <c r="L401" s="48">
        <v>0</v>
      </c>
      <c r="M401" s="237">
        <v>0</v>
      </c>
      <c r="N401" s="237">
        <v>0</v>
      </c>
      <c r="O401" s="237">
        <v>0</v>
      </c>
      <c r="P401" s="237">
        <v>0</v>
      </c>
      <c r="Q401" s="237">
        <v>0</v>
      </c>
      <c r="R401" s="48">
        <f>+IF(R4="N/A",0,IF('INITIAL DATA'!H86="yes",E401*ROUNDUP(R9,0),0))</f>
        <v>0</v>
      </c>
      <c r="S401" s="48"/>
      <c r="T401" s="48">
        <f t="shared" si="141"/>
        <v>0</v>
      </c>
    </row>
    <row r="402" spans="1:20" x14ac:dyDescent="0.2">
      <c r="B402" s="43">
        <v>8</v>
      </c>
      <c r="C402" s="85">
        <v>11401208</v>
      </c>
      <c r="D402" s="47" t="str">
        <f>+IF(G402="","",VLOOKUP('AFE DETAILED'!C402,'AVERAGE COST'!$B:$D,3,0))</f>
        <v>DAY</v>
      </c>
      <c r="E402" s="48">
        <f>+IF(C402="",0,VLOOKUP(C402,'AVERAGE COST'!$B$3:$E$995,4))</f>
        <v>0</v>
      </c>
      <c r="F402" s="47" t="s">
        <v>318</v>
      </c>
      <c r="G402" s="43">
        <v>114012</v>
      </c>
      <c r="H402" s="47" t="s">
        <v>319</v>
      </c>
      <c r="I402" s="155"/>
      <c r="J402" s="155"/>
      <c r="K402" s="48">
        <v>0</v>
      </c>
      <c r="L402" s="48">
        <v>0</v>
      </c>
      <c r="M402" s="237">
        <v>0</v>
      </c>
      <c r="N402" s="237">
        <v>0</v>
      </c>
      <c r="O402" s="237">
        <v>0</v>
      </c>
      <c r="P402" s="237">
        <v>0</v>
      </c>
      <c r="Q402" s="237">
        <v>0</v>
      </c>
      <c r="R402" s="48">
        <f>+IF(R401=0,0,E402*'INITIAL DATA'!H87)</f>
        <v>0</v>
      </c>
      <c r="S402" s="48"/>
      <c r="T402" s="48">
        <f t="shared" si="141"/>
        <v>0</v>
      </c>
    </row>
    <row r="403" spans="1:20" s="26" customFormat="1" x14ac:dyDescent="0.2">
      <c r="A403" s="28"/>
      <c r="B403" s="66" t="s">
        <v>32</v>
      </c>
      <c r="C403" s="67"/>
      <c r="D403" s="68"/>
      <c r="E403" s="92" t="s">
        <v>574</v>
      </c>
      <c r="F403" s="106"/>
      <c r="G403" s="67"/>
      <c r="H403" s="68"/>
      <c r="I403" s="69"/>
      <c r="J403" s="69"/>
      <c r="K403" s="49">
        <f>SUM(K395:K402)</f>
        <v>0</v>
      </c>
      <c r="L403" s="49">
        <f t="shared" ref="L403:T403" si="142">SUM(L395:L402)</f>
        <v>0</v>
      </c>
      <c r="M403" s="238">
        <f t="shared" si="142"/>
        <v>0</v>
      </c>
      <c r="N403" s="238">
        <f t="shared" si="142"/>
        <v>0</v>
      </c>
      <c r="O403" s="238">
        <f t="shared" si="142"/>
        <v>0</v>
      </c>
      <c r="P403" s="238">
        <f t="shared" si="142"/>
        <v>0</v>
      </c>
      <c r="Q403" s="238">
        <f t="shared" si="142"/>
        <v>0</v>
      </c>
      <c r="R403" s="49">
        <f t="shared" si="142"/>
        <v>0</v>
      </c>
      <c r="S403" s="49"/>
      <c r="T403" s="49">
        <f t="shared" si="142"/>
        <v>0</v>
      </c>
    </row>
    <row r="404" spans="1:20" s="26" customFormat="1" x14ac:dyDescent="0.2">
      <c r="A404" s="28"/>
      <c r="B404" s="66" t="s">
        <v>314</v>
      </c>
      <c r="C404" s="67"/>
      <c r="D404" s="68"/>
      <c r="E404" s="92" t="s">
        <v>320</v>
      </c>
      <c r="F404" s="106"/>
      <c r="G404" s="67"/>
      <c r="H404" s="68"/>
      <c r="I404" s="69"/>
      <c r="J404" s="69"/>
      <c r="K404" s="70"/>
      <c r="L404" s="70"/>
      <c r="M404" s="242"/>
      <c r="N404" s="242"/>
      <c r="O404" s="242"/>
      <c r="P404" s="242"/>
      <c r="Q404" s="242"/>
      <c r="R404" s="70"/>
      <c r="S404" s="70"/>
      <c r="T404" s="71"/>
    </row>
    <row r="405" spans="1:20" x14ac:dyDescent="0.2">
      <c r="B405" s="43">
        <v>1</v>
      </c>
      <c r="C405" s="43">
        <v>11401301</v>
      </c>
      <c r="D405" s="47" t="str">
        <f>+IF(G405="","",VLOOKUP('AFE DETAILED'!C405,'AVERAGE COST'!$B:$D,3,0))</f>
        <v>DAY</v>
      </c>
      <c r="E405" s="48">
        <f>+IF(C405="",0,VLOOKUP(C405,'AVERAGE COST'!$B$3:$E$995,4))</f>
        <v>0</v>
      </c>
      <c r="F405" s="47" t="s">
        <v>321</v>
      </c>
      <c r="G405" s="43">
        <v>114013</v>
      </c>
      <c r="H405" s="47" t="s">
        <v>323</v>
      </c>
      <c r="I405" s="155"/>
      <c r="J405" s="155"/>
      <c r="K405" s="48">
        <v>0</v>
      </c>
      <c r="L405" s="48">
        <v>0</v>
      </c>
      <c r="M405" s="237">
        <f>+IF(M422=0,0,$E$405*ROUNDUP(M8,0))</f>
        <v>0</v>
      </c>
      <c r="N405" s="237">
        <f t="shared" ref="N405:Q405" si="143">+IF(N422=0,0,$E$405*ROUNDUP(N8,0))</f>
        <v>0</v>
      </c>
      <c r="O405" s="237">
        <f t="shared" si="143"/>
        <v>0</v>
      </c>
      <c r="P405" s="237">
        <f t="shared" si="143"/>
        <v>0</v>
      </c>
      <c r="Q405" s="237">
        <f t="shared" si="143"/>
        <v>0</v>
      </c>
      <c r="R405" s="48">
        <v>0</v>
      </c>
      <c r="S405" s="48"/>
      <c r="T405" s="48">
        <f t="shared" ref="T405:T413" si="144">SUM(K405:R405)</f>
        <v>0</v>
      </c>
    </row>
    <row r="406" spans="1:20" x14ac:dyDescent="0.2">
      <c r="B406" s="43">
        <v>2</v>
      </c>
      <c r="C406" s="43">
        <v>11401302</v>
      </c>
      <c r="D406" s="47" t="str">
        <f>+IF(G406="","",VLOOKUP('AFE DETAILED'!C406,'AVERAGE COST'!$B:$D,3,0))</f>
        <v>DAY</v>
      </c>
      <c r="E406" s="48">
        <f>+IF(C406="",0,VLOOKUP(C406,'AVERAGE COST'!$B$3:$E$995,4))</f>
        <v>0</v>
      </c>
      <c r="F406" s="47" t="s">
        <v>322</v>
      </c>
      <c r="G406" s="43">
        <v>114013</v>
      </c>
      <c r="H406" s="47" t="s">
        <v>323</v>
      </c>
      <c r="I406" s="155"/>
      <c r="J406" s="155"/>
      <c r="K406" s="48">
        <v>0</v>
      </c>
      <c r="L406" s="48">
        <v>0</v>
      </c>
      <c r="M406" s="237">
        <v>0</v>
      </c>
      <c r="N406" s="237">
        <v>0</v>
      </c>
      <c r="O406" s="237">
        <v>0</v>
      </c>
      <c r="P406" s="237">
        <v>0</v>
      </c>
      <c r="Q406" s="237">
        <v>0</v>
      </c>
      <c r="R406" s="48">
        <v>0</v>
      </c>
      <c r="S406" s="48"/>
      <c r="T406" s="48">
        <f t="shared" si="144"/>
        <v>0</v>
      </c>
    </row>
    <row r="407" spans="1:20" x14ac:dyDescent="0.2">
      <c r="B407" s="43">
        <v>3</v>
      </c>
      <c r="C407" s="43">
        <v>11401303</v>
      </c>
      <c r="D407" s="47" t="str">
        <f>+IF(G407="","",VLOOKUP('AFE DETAILED'!C407,'AVERAGE COST'!$B:$D,3,0))</f>
        <v>GLOBAL</v>
      </c>
      <c r="E407" s="48">
        <f>+IF(C407="",0,VLOOKUP(C407,'AVERAGE COST'!$B$3:$E$995,4))</f>
        <v>0</v>
      </c>
      <c r="F407" s="47" t="s">
        <v>203</v>
      </c>
      <c r="G407" s="43">
        <v>114013</v>
      </c>
      <c r="H407" s="47" t="s">
        <v>323</v>
      </c>
      <c r="I407" s="155"/>
      <c r="J407" s="155"/>
      <c r="K407" s="48">
        <v>0</v>
      </c>
      <c r="L407" s="48">
        <v>0</v>
      </c>
      <c r="M407" s="237">
        <f>+IF(M405=0,0,E407)</f>
        <v>0</v>
      </c>
      <c r="N407" s="237">
        <f>+IF(N405=0,0,IF(AND(M407=0),$E$407,0))</f>
        <v>0</v>
      </c>
      <c r="O407" s="237">
        <f>+IF(O405=0,0,IF(AND(N407=0,M407=0),$E$407,0))</f>
        <v>0</v>
      </c>
      <c r="P407" s="237">
        <f>+IF(P405=0,0,IF(AND(O407=0,M407=0,N407=0),$E$407,0))</f>
        <v>0</v>
      </c>
      <c r="Q407" s="237">
        <f>+IF(Q405=0,0,IF(AND(P407=0,O407=0,M407=0,N407=0),$E$407,0))</f>
        <v>0</v>
      </c>
      <c r="R407" s="48">
        <v>0</v>
      </c>
      <c r="S407" s="48"/>
      <c r="T407" s="48">
        <f t="shared" si="144"/>
        <v>0</v>
      </c>
    </row>
    <row r="408" spans="1:20" x14ac:dyDescent="0.2">
      <c r="B408" s="43">
        <v>4</v>
      </c>
      <c r="C408" s="43">
        <v>11401304</v>
      </c>
      <c r="D408" s="47" t="str">
        <f>+IF(G408="","",VLOOKUP('AFE DETAILED'!C408,'AVERAGE COST'!$B:$D,3,0))</f>
        <v>DAY</v>
      </c>
      <c r="E408" s="48">
        <f>+IF(C408="",0,VLOOKUP(C408,'AVERAGE COST'!$B$3:$E$995,4))</f>
        <v>0</v>
      </c>
      <c r="F408" s="47" t="s">
        <v>237</v>
      </c>
      <c r="G408" s="43">
        <v>114013</v>
      </c>
      <c r="H408" s="47" t="s">
        <v>323</v>
      </c>
      <c r="I408" s="155"/>
      <c r="J408" s="155"/>
      <c r="K408" s="48">
        <v>0</v>
      </c>
      <c r="L408" s="48">
        <v>0</v>
      </c>
      <c r="M408" s="237">
        <f>+IF(M405=0,0,$E$408*ROUNDUP(M8,0))</f>
        <v>0</v>
      </c>
      <c r="N408" s="237">
        <f t="shared" ref="N408:Q408" si="145">+IF(N405=0,0,$E$408*ROUNDUP(N8,0))</f>
        <v>0</v>
      </c>
      <c r="O408" s="237">
        <f t="shared" si="145"/>
        <v>0</v>
      </c>
      <c r="P408" s="237">
        <f t="shared" si="145"/>
        <v>0</v>
      </c>
      <c r="Q408" s="237">
        <f t="shared" si="145"/>
        <v>0</v>
      </c>
      <c r="R408" s="48">
        <v>0</v>
      </c>
      <c r="S408" s="48"/>
      <c r="T408" s="48">
        <f t="shared" si="144"/>
        <v>0</v>
      </c>
    </row>
    <row r="409" spans="1:20" x14ac:dyDescent="0.2">
      <c r="B409" s="43">
        <v>5</v>
      </c>
      <c r="C409" s="155"/>
      <c r="D409" s="265"/>
      <c r="E409" s="266"/>
      <c r="F409" s="265"/>
      <c r="G409" s="43">
        <v>114013</v>
      </c>
      <c r="H409" s="47" t="s">
        <v>323</v>
      </c>
      <c r="I409" s="155"/>
      <c r="J409" s="155"/>
      <c r="K409" s="269">
        <v>0</v>
      </c>
      <c r="L409" s="269">
        <v>0</v>
      </c>
      <c r="M409" s="267"/>
      <c r="N409" s="267"/>
      <c r="O409" s="267"/>
      <c r="P409" s="267"/>
      <c r="Q409" s="267"/>
      <c r="R409" s="266"/>
      <c r="S409" s="48"/>
      <c r="T409" s="48">
        <f t="shared" si="144"/>
        <v>0</v>
      </c>
    </row>
    <row r="410" spans="1:20" x14ac:dyDescent="0.2">
      <c r="B410" s="43">
        <v>6</v>
      </c>
      <c r="C410" s="155"/>
      <c r="D410" s="265"/>
      <c r="E410" s="266"/>
      <c r="F410" s="265"/>
      <c r="G410" s="43">
        <v>114013</v>
      </c>
      <c r="H410" s="47" t="s">
        <v>323</v>
      </c>
      <c r="I410" s="155"/>
      <c r="J410" s="155"/>
      <c r="K410" s="269">
        <v>0</v>
      </c>
      <c r="L410" s="269">
        <v>0</v>
      </c>
      <c r="M410" s="267"/>
      <c r="N410" s="267"/>
      <c r="O410" s="267"/>
      <c r="P410" s="267"/>
      <c r="Q410" s="267"/>
      <c r="R410" s="266"/>
      <c r="S410" s="48"/>
      <c r="T410" s="48">
        <f t="shared" si="144"/>
        <v>0</v>
      </c>
    </row>
    <row r="411" spans="1:20" x14ac:dyDescent="0.2">
      <c r="B411" s="43">
        <v>7</v>
      </c>
      <c r="C411" s="155"/>
      <c r="D411" s="265"/>
      <c r="E411" s="266"/>
      <c r="F411" s="265"/>
      <c r="G411" s="43">
        <v>114013</v>
      </c>
      <c r="H411" s="47" t="s">
        <v>323</v>
      </c>
      <c r="I411" s="155"/>
      <c r="J411" s="155"/>
      <c r="K411" s="269">
        <v>0</v>
      </c>
      <c r="L411" s="269">
        <v>0</v>
      </c>
      <c r="M411" s="267"/>
      <c r="N411" s="267"/>
      <c r="O411" s="267"/>
      <c r="P411" s="267"/>
      <c r="Q411" s="267"/>
      <c r="R411" s="266"/>
      <c r="S411" s="48"/>
      <c r="T411" s="48">
        <f t="shared" si="144"/>
        <v>0</v>
      </c>
    </row>
    <row r="412" spans="1:20" x14ac:dyDescent="0.2">
      <c r="B412" s="43">
        <v>8</v>
      </c>
      <c r="C412" s="155"/>
      <c r="D412" s="265"/>
      <c r="E412" s="266"/>
      <c r="F412" s="265"/>
      <c r="G412" s="43">
        <v>114013</v>
      </c>
      <c r="H412" s="47" t="s">
        <v>323</v>
      </c>
      <c r="I412" s="155"/>
      <c r="J412" s="155"/>
      <c r="K412" s="269">
        <v>0</v>
      </c>
      <c r="L412" s="269">
        <v>0</v>
      </c>
      <c r="M412" s="267"/>
      <c r="N412" s="267"/>
      <c r="O412" s="267"/>
      <c r="P412" s="267"/>
      <c r="Q412" s="267"/>
      <c r="R412" s="266"/>
      <c r="S412" s="48"/>
      <c r="T412" s="48">
        <f t="shared" si="144"/>
        <v>0</v>
      </c>
    </row>
    <row r="413" spans="1:20" x14ac:dyDescent="0.2">
      <c r="B413" s="43">
        <v>9</v>
      </c>
      <c r="C413" s="155"/>
      <c r="D413" s="265"/>
      <c r="E413" s="266"/>
      <c r="F413" s="265"/>
      <c r="G413" s="43">
        <v>114013</v>
      </c>
      <c r="H413" s="47" t="s">
        <v>323</v>
      </c>
      <c r="I413" s="155"/>
      <c r="J413" s="155"/>
      <c r="K413" s="269">
        <v>0</v>
      </c>
      <c r="L413" s="269">
        <v>0</v>
      </c>
      <c r="M413" s="267"/>
      <c r="N413" s="267"/>
      <c r="O413" s="267"/>
      <c r="P413" s="267"/>
      <c r="Q413" s="267"/>
      <c r="R413" s="266"/>
      <c r="S413" s="48"/>
      <c r="T413" s="48">
        <f t="shared" si="144"/>
        <v>0</v>
      </c>
    </row>
    <row r="414" spans="1:20" s="26" customFormat="1" x14ac:dyDescent="0.2">
      <c r="A414" s="28"/>
      <c r="B414" s="66" t="s">
        <v>32</v>
      </c>
      <c r="C414" s="67"/>
      <c r="D414" s="68"/>
      <c r="E414" s="92" t="s">
        <v>327</v>
      </c>
      <c r="F414" s="106"/>
      <c r="G414" s="67"/>
      <c r="H414" s="68"/>
      <c r="I414" s="69"/>
      <c r="J414" s="69"/>
      <c r="K414" s="49">
        <f>SUM(K405:K413)</f>
        <v>0</v>
      </c>
      <c r="L414" s="49">
        <f t="shared" ref="L414:T414" si="146">SUM(L405:L413)</f>
        <v>0</v>
      </c>
      <c r="M414" s="238">
        <f t="shared" si="146"/>
        <v>0</v>
      </c>
      <c r="N414" s="238">
        <f t="shared" si="146"/>
        <v>0</v>
      </c>
      <c r="O414" s="238">
        <f t="shared" si="146"/>
        <v>0</v>
      </c>
      <c r="P414" s="238">
        <f t="shared" si="146"/>
        <v>0</v>
      </c>
      <c r="Q414" s="238">
        <f t="shared" si="146"/>
        <v>0</v>
      </c>
      <c r="R414" s="49">
        <f t="shared" si="146"/>
        <v>0</v>
      </c>
      <c r="S414" s="49"/>
      <c r="T414" s="49">
        <f t="shared" si="146"/>
        <v>0</v>
      </c>
    </row>
    <row r="415" spans="1:20" s="26" customFormat="1" x14ac:dyDescent="0.2">
      <c r="A415" s="28"/>
      <c r="B415" s="66" t="s">
        <v>324</v>
      </c>
      <c r="C415" s="67"/>
      <c r="D415" s="68"/>
      <c r="E415" s="92" t="s">
        <v>326</v>
      </c>
      <c r="F415" s="106"/>
      <c r="G415" s="67"/>
      <c r="H415" s="68"/>
      <c r="I415" s="69"/>
      <c r="J415" s="69"/>
      <c r="K415" s="70"/>
      <c r="L415" s="70"/>
      <c r="M415" s="242"/>
      <c r="N415" s="242"/>
      <c r="O415" s="242"/>
      <c r="P415" s="242"/>
      <c r="Q415" s="242"/>
      <c r="R415" s="70"/>
      <c r="S415" s="70"/>
      <c r="T415" s="71"/>
    </row>
    <row r="416" spans="1:20" x14ac:dyDescent="0.2">
      <c r="B416" s="43">
        <v>1</v>
      </c>
      <c r="C416" s="43">
        <v>11401401</v>
      </c>
      <c r="D416" s="47" t="str">
        <f>+IF(G416="","",VLOOKUP('AFE DETAILED'!C416,'AVERAGE COST'!$B:$D,3,0))</f>
        <v>FT</v>
      </c>
      <c r="E416" s="48">
        <f>+IF(C416="",0,VLOOKUP(C416,'AVERAGE COST'!$B$3:$E$995,4))</f>
        <v>0</v>
      </c>
      <c r="F416" s="47" t="s">
        <v>476</v>
      </c>
      <c r="G416" s="43">
        <v>114014</v>
      </c>
      <c r="H416" s="47" t="s">
        <v>326</v>
      </c>
      <c r="I416" s="155"/>
      <c r="J416" s="155"/>
      <c r="K416" s="48">
        <v>0</v>
      </c>
      <c r="L416" s="48">
        <v>0</v>
      </c>
      <c r="M416" s="237">
        <f>+IF(M4="N/A",0,IF('INITIAL DATA'!C88="yes",$E$416*(M11-L11),0))</f>
        <v>0</v>
      </c>
      <c r="N416" s="237">
        <f>+IF(N4="N/A",0,IF('INITIAL DATA'!D88="yes",$E$416*(N11-M11),0))</f>
        <v>0</v>
      </c>
      <c r="O416" s="237">
        <f>+IF(O4="N/A",0,IF('INITIAL DATA'!E88="yes",$E$416*(O11-N11),0))</f>
        <v>0</v>
      </c>
      <c r="P416" s="237">
        <f>+IF(P4="N/A",0,IF('INITIAL DATA'!F88="yes",$E$416*(P11-O11),0))</f>
        <v>0</v>
      </c>
      <c r="Q416" s="237">
        <f>+IF(Q4="N/A",0,IF('INITIAL DATA'!G88="yes",$E$416*(Q11-P11),0))</f>
        <v>0</v>
      </c>
      <c r="R416" s="237">
        <f>+IF(R4="N/A",0,IF('INITIAL DATA'!H88="yes",$E$416*(R11),0))</f>
        <v>0</v>
      </c>
      <c r="S416" s="48"/>
      <c r="T416" s="48">
        <f t="shared" ref="T416:T419" si="147">SUM(K416:R416)</f>
        <v>0</v>
      </c>
    </row>
    <row r="417" spans="1:20" x14ac:dyDescent="0.2">
      <c r="B417" s="43">
        <v>2</v>
      </c>
      <c r="C417" s="43">
        <v>11401402</v>
      </c>
      <c r="D417" s="47" t="str">
        <f>+IF(G417="","",VLOOKUP('AFE DETAILED'!C417,'AVERAGE COST'!$B:$D,3,0))</f>
        <v>UNIT</v>
      </c>
      <c r="E417" s="48">
        <f>+IF(C417="",0,VLOOKUP(C417,'AVERAGE COST'!$B$3:$E$995,4))</f>
        <v>0</v>
      </c>
      <c r="F417" s="47" t="s">
        <v>96</v>
      </c>
      <c r="G417" s="43">
        <v>114014</v>
      </c>
      <c r="H417" s="47" t="s">
        <v>326</v>
      </c>
      <c r="I417" s="155"/>
      <c r="J417" s="155"/>
      <c r="K417" s="48">
        <v>0</v>
      </c>
      <c r="L417" s="48">
        <v>0</v>
      </c>
      <c r="M417" s="237">
        <v>0</v>
      </c>
      <c r="N417" s="237">
        <v>0</v>
      </c>
      <c r="O417" s="237">
        <v>0</v>
      </c>
      <c r="P417" s="237">
        <v>0</v>
      </c>
      <c r="Q417" s="237">
        <v>0</v>
      </c>
      <c r="R417" s="48">
        <v>0</v>
      </c>
      <c r="S417" s="48"/>
      <c r="T417" s="48">
        <f t="shared" si="147"/>
        <v>0</v>
      </c>
    </row>
    <row r="418" spans="1:20" x14ac:dyDescent="0.2">
      <c r="B418" s="43">
        <v>3</v>
      </c>
      <c r="C418" s="43">
        <v>11401403</v>
      </c>
      <c r="D418" s="47" t="str">
        <f>+IF(G418="","",VLOOKUP('AFE DETAILED'!C418,'AVERAGE COST'!$B:$D,3,0))</f>
        <v>GLOBAL</v>
      </c>
      <c r="E418" s="48">
        <f>+IF(C418="",0,VLOOKUP(C418,'AVERAGE COST'!$B$3:$E$995,4))</f>
        <v>0</v>
      </c>
      <c r="F418" s="47" t="s">
        <v>203</v>
      </c>
      <c r="G418" s="43">
        <v>114014</v>
      </c>
      <c r="H418" s="47" t="s">
        <v>326</v>
      </c>
      <c r="I418" s="155"/>
      <c r="J418" s="155"/>
      <c r="K418" s="48">
        <v>0</v>
      </c>
      <c r="L418" s="48">
        <v>0</v>
      </c>
      <c r="M418" s="237">
        <f>+IF(M416=0,0,E418)</f>
        <v>0</v>
      </c>
      <c r="N418" s="237">
        <f>+IF(N416=0,0,IF(AND(M418=0),$E$418,0))</f>
        <v>0</v>
      </c>
      <c r="O418" s="237">
        <f>+IF(O416=0,0,IF(AND(N418=0,M418=0),$E$418,0))</f>
        <v>0</v>
      </c>
      <c r="P418" s="237">
        <f>+IF(P416=0,0,IF(AND(O418=0,M418=0,N418=0),$E$418,0))</f>
        <v>0</v>
      </c>
      <c r="Q418" s="237">
        <f>+IF(Q416=0,0,IF(AND(P418=0,O418=0,M418=0,N418=0),$E$418,0))</f>
        <v>0</v>
      </c>
      <c r="R418" s="48">
        <v>0</v>
      </c>
      <c r="S418" s="48"/>
      <c r="T418" s="48">
        <f t="shared" si="147"/>
        <v>0</v>
      </c>
    </row>
    <row r="419" spans="1:20" x14ac:dyDescent="0.2">
      <c r="B419" s="43">
        <v>4</v>
      </c>
      <c r="C419" s="43">
        <v>11401404</v>
      </c>
      <c r="D419" s="47" t="str">
        <f>+IF(G419="","",VLOOKUP('AFE DETAILED'!C419,'AVERAGE COST'!$B:$D,3,0))</f>
        <v>DAY</v>
      </c>
      <c r="E419" s="48">
        <f>+IF(C419="",0,VLOOKUP(C419,'AVERAGE COST'!$B$3:$E$995,4))</f>
        <v>0</v>
      </c>
      <c r="F419" s="47" t="s">
        <v>237</v>
      </c>
      <c r="G419" s="43">
        <v>114014</v>
      </c>
      <c r="H419" s="47" t="s">
        <v>326</v>
      </c>
      <c r="I419" s="155"/>
      <c r="J419" s="155"/>
      <c r="K419" s="48">
        <v>0</v>
      </c>
      <c r="L419" s="48">
        <v>0</v>
      </c>
      <c r="M419" s="237">
        <f>+IF(M416=0,0,$E$419*ROUNDUP(M9,0))</f>
        <v>0</v>
      </c>
      <c r="N419" s="237">
        <f t="shared" ref="N419:R419" si="148">+IF(N416=0,0,$E$419*ROUNDUP(N9,0))</f>
        <v>0</v>
      </c>
      <c r="O419" s="237">
        <f t="shared" si="148"/>
        <v>0</v>
      </c>
      <c r="P419" s="237">
        <f t="shared" si="148"/>
        <v>0</v>
      </c>
      <c r="Q419" s="237">
        <f t="shared" si="148"/>
        <v>0</v>
      </c>
      <c r="R419" s="237">
        <f t="shared" si="148"/>
        <v>0</v>
      </c>
      <c r="S419" s="48"/>
      <c r="T419" s="48">
        <f t="shared" si="147"/>
        <v>0</v>
      </c>
    </row>
    <row r="420" spans="1:20" s="26" customFormat="1" x14ac:dyDescent="0.2">
      <c r="A420" s="28"/>
      <c r="B420" s="66" t="s">
        <v>32</v>
      </c>
      <c r="C420" s="67"/>
      <c r="D420" s="68"/>
      <c r="E420" s="92" t="s">
        <v>328</v>
      </c>
      <c r="F420" s="106"/>
      <c r="G420" s="67"/>
      <c r="H420" s="68"/>
      <c r="I420" s="69"/>
      <c r="J420" s="69"/>
      <c r="K420" s="49">
        <f>SUM(K416:K419)</f>
        <v>0</v>
      </c>
      <c r="L420" s="49">
        <f t="shared" ref="L420:T420" si="149">SUM(L416:L419)</f>
        <v>0</v>
      </c>
      <c r="M420" s="238">
        <f t="shared" si="149"/>
        <v>0</v>
      </c>
      <c r="N420" s="238">
        <f t="shared" si="149"/>
        <v>0</v>
      </c>
      <c r="O420" s="238">
        <f t="shared" si="149"/>
        <v>0</v>
      </c>
      <c r="P420" s="238">
        <f t="shared" si="149"/>
        <v>0</v>
      </c>
      <c r="Q420" s="238">
        <f t="shared" si="149"/>
        <v>0</v>
      </c>
      <c r="R420" s="49">
        <f t="shared" si="149"/>
        <v>0</v>
      </c>
      <c r="S420" s="49"/>
      <c r="T420" s="49">
        <f t="shared" si="149"/>
        <v>0</v>
      </c>
    </row>
    <row r="421" spans="1:20" s="26" customFormat="1" x14ac:dyDescent="0.2">
      <c r="A421" s="28"/>
      <c r="B421" s="66" t="s">
        <v>325</v>
      </c>
      <c r="C421" s="67"/>
      <c r="D421" s="68"/>
      <c r="E421" s="92" t="s">
        <v>329</v>
      </c>
      <c r="F421" s="106"/>
      <c r="G421" s="67"/>
      <c r="H421" s="68"/>
      <c r="I421" s="69"/>
      <c r="J421" s="69"/>
      <c r="K421" s="70"/>
      <c r="L421" s="70"/>
      <c r="M421" s="242"/>
      <c r="N421" s="242"/>
      <c r="O421" s="242"/>
      <c r="P421" s="242"/>
      <c r="Q421" s="242"/>
      <c r="R421" s="70"/>
      <c r="S421" s="70"/>
      <c r="T421" s="71"/>
    </row>
    <row r="422" spans="1:20" ht="25.5" x14ac:dyDescent="0.2">
      <c r="B422" s="43">
        <v>1</v>
      </c>
      <c r="C422" s="43">
        <v>11401501</v>
      </c>
      <c r="D422" s="47" t="str">
        <f>+IF(G422="","",VLOOKUP('AFE DETAILED'!C422,'AVERAGE COST'!$B:$D,3,0))</f>
        <v>UNIT</v>
      </c>
      <c r="E422" s="48">
        <f>+IF(C422="",0,VLOOKUP(C422,'AVERAGE COST'!$B$3:$E$995,4))</f>
        <v>0</v>
      </c>
      <c r="F422" s="47" t="s">
        <v>330</v>
      </c>
      <c r="G422" s="43">
        <v>114015</v>
      </c>
      <c r="H422" s="47" t="s">
        <v>477</v>
      </c>
      <c r="I422" s="155"/>
      <c r="J422" s="155"/>
      <c r="K422" s="48">
        <v>0</v>
      </c>
      <c r="L422" s="48">
        <v>0</v>
      </c>
      <c r="M422" s="237">
        <f>+IF(OR(M117&lt;&gt;0,M118&lt;&gt;0),$E$422,0)</f>
        <v>0</v>
      </c>
      <c r="N422" s="237">
        <f t="shared" ref="N422:Q422" si="150">+IF(OR(N117&lt;&gt;0,N118&lt;&gt;0),$E$422,0)</f>
        <v>0</v>
      </c>
      <c r="O422" s="237">
        <f t="shared" si="150"/>
        <v>0</v>
      </c>
      <c r="P422" s="237">
        <f t="shared" si="150"/>
        <v>0</v>
      </c>
      <c r="Q422" s="237">
        <f t="shared" si="150"/>
        <v>0</v>
      </c>
      <c r="R422" s="237">
        <v>0</v>
      </c>
      <c r="S422" s="48"/>
      <c r="T422" s="48">
        <f t="shared" ref="T422:T424" si="151">SUM(K422:R422)</f>
        <v>0</v>
      </c>
    </row>
    <row r="423" spans="1:20" x14ac:dyDescent="0.2">
      <c r="B423" s="43">
        <v>2</v>
      </c>
      <c r="C423" s="43">
        <v>11401502</v>
      </c>
      <c r="D423" s="47" t="str">
        <f>+IF(G423="","",VLOOKUP('AFE DETAILED'!C423,'AVERAGE COST'!$B:$D,3,0))</f>
        <v>DAY</v>
      </c>
      <c r="E423" s="48">
        <f>+IF(C423="",0,VLOOKUP(C423,'AVERAGE COST'!$B$3:$E$995,4))</f>
        <v>0</v>
      </c>
      <c r="F423" s="47" t="s">
        <v>331</v>
      </c>
      <c r="G423" s="43">
        <v>114015</v>
      </c>
      <c r="H423" s="47" t="s">
        <v>477</v>
      </c>
      <c r="I423" s="155"/>
      <c r="J423" s="155"/>
      <c r="K423" s="48">
        <v>0</v>
      </c>
      <c r="L423" s="48">
        <v>0</v>
      </c>
      <c r="M423" s="237">
        <f>+IF(M422=0,0,$E$423*M8)</f>
        <v>0</v>
      </c>
      <c r="N423" s="237">
        <f>+IF(N422=0,0,$E$423*N8)</f>
        <v>0</v>
      </c>
      <c r="O423" s="237">
        <f>+IF(O422=0,0,$E$423*O8)</f>
        <v>0</v>
      </c>
      <c r="P423" s="237">
        <f t="shared" ref="P423:Q423" si="152">+IF(P422=0,0,$E$423*P8)</f>
        <v>0</v>
      </c>
      <c r="Q423" s="237">
        <f t="shared" si="152"/>
        <v>0</v>
      </c>
      <c r="R423" s="237">
        <v>0</v>
      </c>
      <c r="S423" s="48"/>
      <c r="T423" s="48">
        <f t="shared" si="151"/>
        <v>0</v>
      </c>
    </row>
    <row r="424" spans="1:20" x14ac:dyDescent="0.2">
      <c r="B424" s="43">
        <v>3</v>
      </c>
      <c r="C424" s="43">
        <v>11401503</v>
      </c>
      <c r="D424" s="47" t="str">
        <f>+IF(G424="","",VLOOKUP('AFE DETAILED'!C424,'AVERAGE COST'!$B:$D,3,0))</f>
        <v>GLOBAL</v>
      </c>
      <c r="E424" s="48">
        <f>+IF(C424="",0,VLOOKUP(C424,'AVERAGE COST'!$B$3:$E$995,4))</f>
        <v>0</v>
      </c>
      <c r="F424" s="47" t="s">
        <v>203</v>
      </c>
      <c r="G424" s="43">
        <v>114015</v>
      </c>
      <c r="H424" s="47" t="s">
        <v>477</v>
      </c>
      <c r="I424" s="155"/>
      <c r="J424" s="155"/>
      <c r="K424" s="48">
        <v>0</v>
      </c>
      <c r="L424" s="48">
        <v>0</v>
      </c>
      <c r="M424" s="237">
        <f>+IF(M423=0,0,E424)</f>
        <v>0</v>
      </c>
      <c r="N424" s="237">
        <f>+IF(N422=0,0,IF(AND(M424=0),$E$424,0))</f>
        <v>0</v>
      </c>
      <c r="O424" s="237">
        <f>+IF(O422=0,0,IF(AND(N424=0,M424=0),$E$424,0))</f>
        <v>0</v>
      </c>
      <c r="P424" s="237">
        <f>+IF(P422=0,0,IF(AND(O424=0,M424=0,N424=0),$E$424,0))</f>
        <v>0</v>
      </c>
      <c r="Q424" s="237">
        <f>+IF(Q422=0,0,IF(AND(P424=0,O424=0,M424=0,N424=0),$E$424,0))</f>
        <v>0</v>
      </c>
      <c r="R424" s="48">
        <v>0</v>
      </c>
      <c r="S424" s="48"/>
      <c r="T424" s="48">
        <f t="shared" si="151"/>
        <v>0</v>
      </c>
    </row>
    <row r="425" spans="1:20" s="26" customFormat="1" x14ac:dyDescent="0.2">
      <c r="A425" s="28"/>
      <c r="B425" s="66" t="s">
        <v>32</v>
      </c>
      <c r="C425" s="67"/>
      <c r="D425" s="68"/>
      <c r="E425" s="92" t="s">
        <v>334</v>
      </c>
      <c r="F425" s="106"/>
      <c r="G425" s="67"/>
      <c r="H425" s="68"/>
      <c r="I425" s="69"/>
      <c r="J425" s="69"/>
      <c r="K425" s="49">
        <f>SUM(K422:K424)</f>
        <v>0</v>
      </c>
      <c r="L425" s="49">
        <f t="shared" ref="L425:T425" si="153">SUM(L422:L424)</f>
        <v>0</v>
      </c>
      <c r="M425" s="238">
        <f t="shared" si="153"/>
        <v>0</v>
      </c>
      <c r="N425" s="238">
        <f t="shared" si="153"/>
        <v>0</v>
      </c>
      <c r="O425" s="238">
        <f t="shared" si="153"/>
        <v>0</v>
      </c>
      <c r="P425" s="238">
        <f t="shared" si="153"/>
        <v>0</v>
      </c>
      <c r="Q425" s="238">
        <f t="shared" si="153"/>
        <v>0</v>
      </c>
      <c r="R425" s="49">
        <f t="shared" si="153"/>
        <v>0</v>
      </c>
      <c r="S425" s="49"/>
      <c r="T425" s="49">
        <f t="shared" si="153"/>
        <v>0</v>
      </c>
    </row>
    <row r="426" spans="1:20" s="26" customFormat="1" x14ac:dyDescent="0.2">
      <c r="A426" s="28"/>
      <c r="B426" s="66" t="s">
        <v>332</v>
      </c>
      <c r="C426" s="67"/>
      <c r="D426" s="68"/>
      <c r="E426" s="92" t="s">
        <v>335</v>
      </c>
      <c r="F426" s="106"/>
      <c r="G426" s="67"/>
      <c r="H426" s="68"/>
      <c r="I426" s="69"/>
      <c r="J426" s="69"/>
      <c r="K426" s="70"/>
      <c r="L426" s="70"/>
      <c r="M426" s="242"/>
      <c r="N426" s="242"/>
      <c r="O426" s="242"/>
      <c r="P426" s="242"/>
      <c r="Q426" s="242"/>
      <c r="R426" s="70"/>
      <c r="S426" s="70"/>
      <c r="T426" s="71"/>
    </row>
    <row r="427" spans="1:20" ht="27" customHeight="1" x14ac:dyDescent="0.2">
      <c r="B427" s="43">
        <v>1</v>
      </c>
      <c r="C427" s="43">
        <v>11401601</v>
      </c>
      <c r="D427" s="47" t="str">
        <f>+IF(G427="","",VLOOKUP('AFE DETAILED'!C427,'AVERAGE COST'!$B:$D,3,0))</f>
        <v>GLOBAL</v>
      </c>
      <c r="E427" s="48">
        <f>+IF(C427="",0,VLOOKUP(C427,'AVERAGE COST'!$B$3:$E$995,4))</f>
        <v>0</v>
      </c>
      <c r="F427" s="47" t="s">
        <v>203</v>
      </c>
      <c r="G427" s="43">
        <v>114016</v>
      </c>
      <c r="H427" s="47" t="s">
        <v>335</v>
      </c>
      <c r="I427" s="155"/>
      <c r="J427" s="155"/>
      <c r="K427" s="48">
        <v>0</v>
      </c>
      <c r="L427" s="48">
        <v>0</v>
      </c>
      <c r="M427" s="237">
        <f>+IF(M428=0,0,E427)</f>
        <v>0</v>
      </c>
      <c r="N427" s="237">
        <f>+IF(N428=0,0,IF(AND(M427=0),$E$427,0))</f>
        <v>0</v>
      </c>
      <c r="O427" s="237">
        <f>+IF(O428=0,0,IF(AND(N427=0,M427=0),$E$427,0))</f>
        <v>0</v>
      </c>
      <c r="P427" s="237">
        <f>+IF(P428=0,0,IF(AND(O427=0,M427=0,N427=0),$E$427,0))</f>
        <v>0</v>
      </c>
      <c r="Q427" s="237">
        <f>+IF(Q428=0,0,IF(AND(P427=0,O427=0,M427=0,N427=0),$E$427,0))</f>
        <v>0</v>
      </c>
      <c r="R427" s="237">
        <f>+IF(R428=0,0,IF(AND(Q427=0,P427=0,N427=0,O427=0,M427=0),$E$427,0))</f>
        <v>0</v>
      </c>
      <c r="S427" s="48"/>
      <c r="T427" s="48">
        <f t="shared" ref="T427:T430" si="154">SUM(K427:R427)</f>
        <v>0</v>
      </c>
    </row>
    <row r="428" spans="1:20" ht="25.5" x14ac:dyDescent="0.2">
      <c r="B428" s="43">
        <v>2</v>
      </c>
      <c r="C428" s="43">
        <v>11401602</v>
      </c>
      <c r="D428" s="47" t="str">
        <f>+IF(G428="","",VLOOKUP('AFE DETAILED'!C428,'AVERAGE COST'!$B:$D,3,0))</f>
        <v>DAY</v>
      </c>
      <c r="E428" s="48">
        <f>+IF(C428="",0,VLOOKUP(C428,'AVERAGE COST'!$B$3:$E$995,4))</f>
        <v>0</v>
      </c>
      <c r="F428" s="47" t="s">
        <v>478</v>
      </c>
      <c r="G428" s="43">
        <v>114016</v>
      </c>
      <c r="H428" s="47" t="s">
        <v>335</v>
      </c>
      <c r="I428" s="155"/>
      <c r="J428" s="155"/>
      <c r="K428" s="48">
        <v>0</v>
      </c>
      <c r="L428" s="48">
        <v>0</v>
      </c>
      <c r="M428" s="237">
        <f>+IF(M4="N/A",0,IF('INITIAL DATA'!C89="yes",$E$428*ROUNDUP(M9,0),0))</f>
        <v>0</v>
      </c>
      <c r="N428" s="237">
        <f>+IF(N4="N/A",0,IF('INITIAL DATA'!D89="yes",$E$428*ROUNDUP(N9,0),0))</f>
        <v>0</v>
      </c>
      <c r="O428" s="237">
        <f>+IF(O4="N/A",0,IF('INITIAL DATA'!E89="yes",$E$428*ROUNDUP(O9,0),0))</f>
        <v>0</v>
      </c>
      <c r="P428" s="237">
        <f>+IF(P4="N/A",0,IF('INITIAL DATA'!F89="yes",$E$428*ROUNDUP(P9,0),0))</f>
        <v>0</v>
      </c>
      <c r="Q428" s="237">
        <f>+IF(Q4="N/A",0,IF('INITIAL DATA'!G89="yes",$E$428*ROUNDUP(Q9,0),0))</f>
        <v>0</v>
      </c>
      <c r="R428" s="237">
        <f>+IF(R4="N/A",0,IF('INITIAL DATA'!H89="yes",$E$428*ROUNDUP(R9,0),0))</f>
        <v>0</v>
      </c>
      <c r="S428" s="48"/>
      <c r="T428" s="48">
        <f t="shared" si="154"/>
        <v>0</v>
      </c>
    </row>
    <row r="429" spans="1:20" x14ac:dyDescent="0.2">
      <c r="B429" s="43">
        <v>3</v>
      </c>
      <c r="C429" s="43">
        <v>11401603</v>
      </c>
      <c r="D429" s="47" t="str">
        <f>+IF(G429="","",VLOOKUP('AFE DETAILED'!C429,'AVERAGE COST'!$B:$D,3,0))</f>
        <v>DAY</v>
      </c>
      <c r="E429" s="48">
        <f>+IF(C429="",0,VLOOKUP(C429,'AVERAGE COST'!$B$3:$E$995,4))</f>
        <v>0</v>
      </c>
      <c r="F429" s="47" t="s">
        <v>237</v>
      </c>
      <c r="G429" s="43">
        <v>114016</v>
      </c>
      <c r="H429" s="47" t="s">
        <v>335</v>
      </c>
      <c r="I429" s="155"/>
      <c r="J429" s="155"/>
      <c r="K429" s="48">
        <v>0</v>
      </c>
      <c r="L429" s="48">
        <v>0</v>
      </c>
      <c r="M429" s="237">
        <f>+IF(M428=0,0,$E$429*ROUNDUP(M9,0))</f>
        <v>0</v>
      </c>
      <c r="N429" s="237">
        <f t="shared" ref="N429:R429" si="155">+IF(N428=0,0,$E$429*ROUNDUP(N9,0))</f>
        <v>0</v>
      </c>
      <c r="O429" s="237">
        <f t="shared" si="155"/>
        <v>0</v>
      </c>
      <c r="P429" s="237">
        <f t="shared" si="155"/>
        <v>0</v>
      </c>
      <c r="Q429" s="237">
        <f t="shared" si="155"/>
        <v>0</v>
      </c>
      <c r="R429" s="237">
        <f t="shared" si="155"/>
        <v>0</v>
      </c>
      <c r="S429" s="48"/>
      <c r="T429" s="48">
        <f t="shared" si="154"/>
        <v>0</v>
      </c>
    </row>
    <row r="430" spans="1:20" x14ac:dyDescent="0.2">
      <c r="B430" s="43">
        <v>4</v>
      </c>
      <c r="C430" s="43">
        <v>11401604</v>
      </c>
      <c r="D430" s="47" t="str">
        <f>+IF(G430="","",VLOOKUP('AFE DETAILED'!C430,'AVERAGE COST'!$B:$D,3,0))</f>
        <v>DAY</v>
      </c>
      <c r="E430" s="48">
        <f>+IF(C430="",0,VLOOKUP(C430,'AVERAGE COST'!$B$3:$E$995,4))</f>
        <v>0</v>
      </c>
      <c r="F430" s="47" t="s">
        <v>238</v>
      </c>
      <c r="G430" s="43">
        <v>114016</v>
      </c>
      <c r="H430" s="47" t="s">
        <v>335</v>
      </c>
      <c r="I430" s="155"/>
      <c r="J430" s="155"/>
      <c r="K430" s="48">
        <v>0</v>
      </c>
      <c r="L430" s="48">
        <v>0</v>
      </c>
      <c r="M430" s="237">
        <f>+IF(M428=0,0,$E$430*ROUNDUP(M9,0))</f>
        <v>0</v>
      </c>
      <c r="N430" s="237">
        <f t="shared" ref="N430:R430" si="156">+IF(N428=0,0,$E$430*ROUNDUP(N9,0))</f>
        <v>0</v>
      </c>
      <c r="O430" s="237">
        <f t="shared" si="156"/>
        <v>0</v>
      </c>
      <c r="P430" s="237">
        <f t="shared" si="156"/>
        <v>0</v>
      </c>
      <c r="Q430" s="237">
        <f t="shared" si="156"/>
        <v>0</v>
      </c>
      <c r="R430" s="237">
        <f t="shared" si="156"/>
        <v>0</v>
      </c>
      <c r="S430" s="48"/>
      <c r="T430" s="48">
        <f t="shared" si="154"/>
        <v>0</v>
      </c>
    </row>
    <row r="431" spans="1:20" s="27" customFormat="1" x14ac:dyDescent="0.2">
      <c r="A431" s="28"/>
      <c r="B431" s="66" t="s">
        <v>32</v>
      </c>
      <c r="C431" s="67"/>
      <c r="D431" s="68"/>
      <c r="E431" s="92" t="s">
        <v>336</v>
      </c>
      <c r="F431" s="106"/>
      <c r="G431" s="67"/>
      <c r="H431" s="68"/>
      <c r="I431" s="69"/>
      <c r="J431" s="69"/>
      <c r="K431" s="49">
        <f>SUM(K427:K430)</f>
        <v>0</v>
      </c>
      <c r="L431" s="49">
        <f t="shared" ref="L431:T431" si="157">SUM(L427:L430)</f>
        <v>0</v>
      </c>
      <c r="M431" s="238">
        <f t="shared" si="157"/>
        <v>0</v>
      </c>
      <c r="N431" s="238">
        <f t="shared" si="157"/>
        <v>0</v>
      </c>
      <c r="O431" s="238">
        <f t="shared" si="157"/>
        <v>0</v>
      </c>
      <c r="P431" s="238">
        <f t="shared" si="157"/>
        <v>0</v>
      </c>
      <c r="Q431" s="238">
        <f t="shared" si="157"/>
        <v>0</v>
      </c>
      <c r="R431" s="49">
        <f t="shared" si="157"/>
        <v>0</v>
      </c>
      <c r="S431" s="49"/>
      <c r="T431" s="49">
        <f t="shared" si="157"/>
        <v>0</v>
      </c>
    </row>
    <row r="432" spans="1:20" s="27" customFormat="1" x14ac:dyDescent="0.2">
      <c r="A432" s="28"/>
      <c r="B432" s="66" t="s">
        <v>333</v>
      </c>
      <c r="C432" s="67"/>
      <c r="D432" s="68"/>
      <c r="E432" s="92" t="s">
        <v>337</v>
      </c>
      <c r="F432" s="106"/>
      <c r="G432" s="67"/>
      <c r="H432" s="68"/>
      <c r="I432" s="69"/>
      <c r="J432" s="69"/>
      <c r="K432" s="70"/>
      <c r="L432" s="70"/>
      <c r="M432" s="242"/>
      <c r="N432" s="242"/>
      <c r="O432" s="242"/>
      <c r="P432" s="242"/>
      <c r="Q432" s="242"/>
      <c r="R432" s="70"/>
      <c r="S432" s="70"/>
      <c r="T432" s="71"/>
    </row>
    <row r="433" spans="1:20" x14ac:dyDescent="0.2">
      <c r="B433" s="43">
        <v>1</v>
      </c>
      <c r="C433" s="43">
        <v>11401701</v>
      </c>
      <c r="D433" s="47" t="str">
        <f>+IF(G433="","",VLOOKUP('AFE DETAILED'!C433,'AVERAGE COST'!$B:$D,3,0))</f>
        <v>UNIT</v>
      </c>
      <c r="E433" s="48">
        <f>+IF(C433="",0,VLOOKUP(C433,'AVERAGE COST'!$B$3:$E$995,4))</f>
        <v>0</v>
      </c>
      <c r="F433" s="47" t="s">
        <v>340</v>
      </c>
      <c r="G433" s="43">
        <v>114017</v>
      </c>
      <c r="H433" s="47" t="s">
        <v>337</v>
      </c>
      <c r="I433" s="155"/>
      <c r="J433" s="155"/>
      <c r="K433" s="48">
        <v>0</v>
      </c>
      <c r="L433" s="48">
        <v>0</v>
      </c>
      <c r="M433" s="237">
        <v>0</v>
      </c>
      <c r="N433" s="237">
        <v>0</v>
      </c>
      <c r="O433" s="237">
        <v>0</v>
      </c>
      <c r="P433" s="237">
        <v>0</v>
      </c>
      <c r="Q433" s="237">
        <v>0</v>
      </c>
      <c r="R433" s="48">
        <f>+IF($R$434=0,0,E433)</f>
        <v>0</v>
      </c>
      <c r="S433" s="48"/>
      <c r="T433" s="48">
        <f t="shared" ref="T433:T438" si="158">SUM(K433:R433)</f>
        <v>0</v>
      </c>
    </row>
    <row r="434" spans="1:20" x14ac:dyDescent="0.2">
      <c r="B434" s="43">
        <v>2</v>
      </c>
      <c r="C434" s="43">
        <v>11401702</v>
      </c>
      <c r="D434" s="47" t="str">
        <f>+IF(G434="","",VLOOKUP('AFE DETAILED'!C434,'AVERAGE COST'!$B:$D,3,0))</f>
        <v>UNIT</v>
      </c>
      <c r="E434" s="48">
        <f>+IF(C434="",0,VLOOKUP(C434,'AVERAGE COST'!$B$3:$E$995,4))</f>
        <v>0</v>
      </c>
      <c r="F434" s="47" t="s">
        <v>341</v>
      </c>
      <c r="G434" s="43">
        <v>114017</v>
      </c>
      <c r="H434" s="47" t="s">
        <v>337</v>
      </c>
      <c r="I434" s="155"/>
      <c r="J434" s="155"/>
      <c r="K434" s="48">
        <v>0</v>
      </c>
      <c r="L434" s="48">
        <v>0</v>
      </c>
      <c r="M434" s="237">
        <v>0</v>
      </c>
      <c r="N434" s="237">
        <v>0</v>
      </c>
      <c r="O434" s="237">
        <v>0</v>
      </c>
      <c r="P434" s="237">
        <v>0</v>
      </c>
      <c r="Q434" s="237">
        <v>0</v>
      </c>
      <c r="R434" s="48">
        <f>+IF(R4="n/a",0,IF('INITIAL DATA'!H90="yes",E434,0))</f>
        <v>0</v>
      </c>
      <c r="S434" s="48"/>
      <c r="T434" s="48">
        <f t="shared" si="158"/>
        <v>0</v>
      </c>
    </row>
    <row r="435" spans="1:20" x14ac:dyDescent="0.2">
      <c r="B435" s="43">
        <v>3</v>
      </c>
      <c r="C435" s="43">
        <v>11401703</v>
      </c>
      <c r="D435" s="47" t="str">
        <f>+IF(G435="","",VLOOKUP('AFE DETAILED'!C435,'AVERAGE COST'!$B:$D,3,0))</f>
        <v>UNIT</v>
      </c>
      <c r="E435" s="48">
        <f>+IF(C435="",0,VLOOKUP(C435,'AVERAGE COST'!$B$3:$E$995,4))</f>
        <v>0</v>
      </c>
      <c r="F435" s="47" t="s">
        <v>342</v>
      </c>
      <c r="G435" s="43">
        <v>114017</v>
      </c>
      <c r="H435" s="47" t="s">
        <v>337</v>
      </c>
      <c r="I435" s="155"/>
      <c r="J435" s="155"/>
      <c r="K435" s="48">
        <v>0</v>
      </c>
      <c r="L435" s="48">
        <v>0</v>
      </c>
      <c r="M435" s="237">
        <v>0</v>
      </c>
      <c r="N435" s="237">
        <v>0</v>
      </c>
      <c r="O435" s="237">
        <v>0</v>
      </c>
      <c r="P435" s="237">
        <v>0</v>
      </c>
      <c r="Q435" s="237">
        <v>0</v>
      </c>
      <c r="R435" s="48">
        <f>+IF($R$434=0,0,E435)</f>
        <v>0</v>
      </c>
      <c r="S435" s="48"/>
      <c r="T435" s="48">
        <f t="shared" si="158"/>
        <v>0</v>
      </c>
    </row>
    <row r="436" spans="1:20" x14ac:dyDescent="0.2">
      <c r="B436" s="43">
        <v>4</v>
      </c>
      <c r="C436" s="43">
        <v>11401704</v>
      </c>
      <c r="D436" s="47" t="str">
        <f>+IF(G436="","",VLOOKUP('AFE DETAILED'!C436,'AVERAGE COST'!$B:$D,3,0))</f>
        <v>UNIT</v>
      </c>
      <c r="E436" s="48">
        <f>+IF(C436="",0,VLOOKUP(C436,'AVERAGE COST'!$B$3:$E$995,4))</f>
        <v>0</v>
      </c>
      <c r="F436" s="47" t="s">
        <v>237</v>
      </c>
      <c r="G436" s="43">
        <v>114017</v>
      </c>
      <c r="H436" s="47" t="s">
        <v>337</v>
      </c>
      <c r="I436" s="155"/>
      <c r="J436" s="155"/>
      <c r="K436" s="48">
        <v>0</v>
      </c>
      <c r="L436" s="48">
        <v>0</v>
      </c>
      <c r="M436" s="237">
        <v>0</v>
      </c>
      <c r="N436" s="237">
        <v>0</v>
      </c>
      <c r="O436" s="237">
        <v>0</v>
      </c>
      <c r="P436" s="237">
        <v>0</v>
      </c>
      <c r="Q436" s="237">
        <v>0</v>
      </c>
      <c r="R436" s="48">
        <f>+IF($R$434=0,0,E436)</f>
        <v>0</v>
      </c>
      <c r="S436" s="48"/>
      <c r="T436" s="48">
        <f t="shared" si="158"/>
        <v>0</v>
      </c>
    </row>
    <row r="437" spans="1:20" ht="27" customHeight="1" x14ac:dyDescent="0.2">
      <c r="B437" s="43">
        <v>5</v>
      </c>
      <c r="C437" s="43">
        <v>11401705</v>
      </c>
      <c r="D437" s="47" t="str">
        <f>+IF(G437="","",VLOOKUP('AFE DETAILED'!C437,'AVERAGE COST'!$B:$D,3,0))</f>
        <v>GLOBAL</v>
      </c>
      <c r="E437" s="48">
        <f>+IF(C437="",0,VLOOKUP(C437,'AVERAGE COST'!$B$3:$E$995,4))</f>
        <v>0</v>
      </c>
      <c r="F437" s="47" t="s">
        <v>203</v>
      </c>
      <c r="G437" s="43">
        <v>114017</v>
      </c>
      <c r="H437" s="47" t="s">
        <v>337</v>
      </c>
      <c r="I437" s="155"/>
      <c r="J437" s="155"/>
      <c r="K437" s="48">
        <v>0</v>
      </c>
      <c r="L437" s="48">
        <v>0</v>
      </c>
      <c r="M437" s="237">
        <v>0</v>
      </c>
      <c r="N437" s="237">
        <v>0</v>
      </c>
      <c r="O437" s="237">
        <v>0</v>
      </c>
      <c r="P437" s="237">
        <v>0</v>
      </c>
      <c r="Q437" s="237">
        <v>0</v>
      </c>
      <c r="R437" s="48">
        <f>+IF($R$434=0,0,E437)</f>
        <v>0</v>
      </c>
      <c r="S437" s="48"/>
      <c r="T437" s="48">
        <f t="shared" si="158"/>
        <v>0</v>
      </c>
    </row>
    <row r="438" spans="1:20" x14ac:dyDescent="0.2">
      <c r="B438" s="43">
        <v>6</v>
      </c>
      <c r="C438" s="43">
        <v>11401706</v>
      </c>
      <c r="D438" s="47" t="str">
        <f>+IF(G438="","",VLOOKUP('AFE DETAILED'!C438,'AVERAGE COST'!$B:$D,3,0))</f>
        <v>GLOBAL</v>
      </c>
      <c r="E438" s="48">
        <f>+IF(C438="",0,VLOOKUP(C438,'AVERAGE COST'!$B$3:$E$995,4))</f>
        <v>0</v>
      </c>
      <c r="F438" s="47" t="s">
        <v>98</v>
      </c>
      <c r="G438" s="43">
        <v>114017</v>
      </c>
      <c r="H438" s="47" t="s">
        <v>337</v>
      </c>
      <c r="I438" s="155"/>
      <c r="J438" s="155"/>
      <c r="K438" s="48">
        <v>0</v>
      </c>
      <c r="L438" s="48">
        <v>0</v>
      </c>
      <c r="M438" s="237">
        <v>0</v>
      </c>
      <c r="N438" s="237">
        <v>0</v>
      </c>
      <c r="O438" s="237">
        <v>0</v>
      </c>
      <c r="P438" s="237">
        <v>0</v>
      </c>
      <c r="Q438" s="237">
        <v>0</v>
      </c>
      <c r="R438" s="48">
        <v>0</v>
      </c>
      <c r="S438" s="48"/>
      <c r="T438" s="48">
        <f t="shared" si="158"/>
        <v>0</v>
      </c>
    </row>
    <row r="439" spans="1:20" s="27" customFormat="1" x14ac:dyDescent="0.2">
      <c r="A439" s="28"/>
      <c r="B439" s="66" t="s">
        <v>32</v>
      </c>
      <c r="C439" s="67"/>
      <c r="D439" s="68"/>
      <c r="E439" s="92" t="s">
        <v>339</v>
      </c>
      <c r="F439" s="106"/>
      <c r="G439" s="67"/>
      <c r="H439" s="68"/>
      <c r="I439" s="69"/>
      <c r="J439" s="69"/>
      <c r="K439" s="49">
        <f>SUM(K433:K438)</f>
        <v>0</v>
      </c>
      <c r="L439" s="49">
        <f t="shared" ref="L439:T439" si="159">SUM(L433:L438)</f>
        <v>0</v>
      </c>
      <c r="M439" s="238">
        <f t="shared" si="159"/>
        <v>0</v>
      </c>
      <c r="N439" s="238">
        <f t="shared" si="159"/>
        <v>0</v>
      </c>
      <c r="O439" s="238">
        <f t="shared" si="159"/>
        <v>0</v>
      </c>
      <c r="P439" s="238">
        <f t="shared" si="159"/>
        <v>0</v>
      </c>
      <c r="Q439" s="238">
        <f t="shared" si="159"/>
        <v>0</v>
      </c>
      <c r="R439" s="49">
        <f t="shared" si="159"/>
        <v>0</v>
      </c>
      <c r="S439" s="49"/>
      <c r="T439" s="49">
        <f t="shared" si="159"/>
        <v>0</v>
      </c>
    </row>
    <row r="440" spans="1:20" s="27" customFormat="1" x14ac:dyDescent="0.2">
      <c r="A440" s="28"/>
      <c r="B440" s="66" t="s">
        <v>338</v>
      </c>
      <c r="C440" s="67"/>
      <c r="D440" s="68"/>
      <c r="E440" s="92" t="s">
        <v>343</v>
      </c>
      <c r="F440" s="106"/>
      <c r="G440" s="67"/>
      <c r="H440" s="68"/>
      <c r="I440" s="69"/>
      <c r="J440" s="69"/>
      <c r="K440" s="70"/>
      <c r="L440" s="70"/>
      <c r="M440" s="242"/>
      <c r="N440" s="242"/>
      <c r="O440" s="242"/>
      <c r="P440" s="242"/>
      <c r="Q440" s="242"/>
      <c r="R440" s="70"/>
      <c r="S440" s="70"/>
      <c r="T440" s="71"/>
    </row>
    <row r="441" spans="1:20" x14ac:dyDescent="0.2">
      <c r="B441" s="43">
        <v>1</v>
      </c>
      <c r="C441" s="85">
        <v>11401801</v>
      </c>
      <c r="D441" s="47" t="str">
        <f>+IF(G441="","",VLOOKUP('AFE DETAILED'!C441,'AVERAGE COST'!$B:$D,3,0))</f>
        <v>FT</v>
      </c>
      <c r="E441" s="48">
        <f>+IF(C441="",0,VLOOKUP(C441,'AVERAGE COST'!$B$3:$E$995,4))</f>
        <v>0</v>
      </c>
      <c r="F441" s="47" t="s">
        <v>346</v>
      </c>
      <c r="G441" s="43">
        <v>114018</v>
      </c>
      <c r="H441" s="47" t="s">
        <v>343</v>
      </c>
      <c r="I441" s="155"/>
      <c r="J441" s="155"/>
      <c r="K441" s="48">
        <v>0</v>
      </c>
      <c r="L441" s="48">
        <v>0</v>
      </c>
      <c r="M441" s="237">
        <f>+IF(M4="N/A",0,IF('INITIAL DATA'!C91="COMPANY FIELD",$E$441*((M11-L11)*1.1),0))</f>
        <v>0</v>
      </c>
      <c r="N441" s="237">
        <f>+IF(N4="N/A",0,IF('INITIAL DATA'!D91="COMPANY FIELD",$E$441*((N11-M11)*1.1),0))</f>
        <v>0</v>
      </c>
      <c r="O441" s="237">
        <f>+IF(O4="N/A",0,IF('INITIAL DATA'!E91="COMPANY FIELD",$E$441*((O11-N11)*1.1),0))</f>
        <v>0</v>
      </c>
      <c r="P441" s="237">
        <f>+IF(P4="N/A",0,IF('INITIAL DATA'!F91="COMPANY FIELD",$E$441*((P11-O11)*1.1),0))</f>
        <v>0</v>
      </c>
      <c r="Q441" s="237">
        <f>+IF(Q4="N/A",0,IF('INITIAL DATA'!G91="COMPANY FIELD",$E$441*((Q11-P11)*1.1),0))</f>
        <v>0</v>
      </c>
      <c r="R441" s="237">
        <f>+IF(R4="N/A",0,IF('INITIAL DATA'!H91="COMPANY FIELD",$E$441*((R11)*1.1),0))</f>
        <v>0</v>
      </c>
      <c r="S441" s="48"/>
      <c r="T441" s="48">
        <f t="shared" ref="T441:T449" si="160">SUM(K441:R441)</f>
        <v>0</v>
      </c>
    </row>
    <row r="442" spans="1:20" x14ac:dyDescent="0.2">
      <c r="B442" s="43">
        <v>2</v>
      </c>
      <c r="C442" s="85">
        <v>11401802</v>
      </c>
      <c r="D442" s="47" t="str">
        <f>+IF(G442="","",VLOOKUP('AFE DETAILED'!C442,'AVERAGE COST'!$B:$D,3,0))</f>
        <v>FT</v>
      </c>
      <c r="E442" s="48">
        <f>+IF(C442="",0,VLOOKUP(C442,'AVERAGE COST'!$B$3:$E$995,4))</f>
        <v>0</v>
      </c>
      <c r="F442" s="47" t="s">
        <v>347</v>
      </c>
      <c r="G442" s="43">
        <v>114018</v>
      </c>
      <c r="H442" s="47" t="s">
        <v>343</v>
      </c>
      <c r="I442" s="155"/>
      <c r="J442" s="155"/>
      <c r="K442" s="48">
        <v>0</v>
      </c>
      <c r="L442" s="48">
        <v>0</v>
      </c>
      <c r="M442" s="237">
        <f>+IF(M4="N/A",0,IF('INITIAL DATA'!C91="CONTRACTOR BASE",$E$442*((M11-L11)*1.1),0))</f>
        <v>0</v>
      </c>
      <c r="N442" s="237">
        <f>+IF(N4="N/A",0,IF('INITIAL DATA'!D91="CONTRACTOR BASE",$E$442*((N11-M11)*1.1),0))</f>
        <v>0</v>
      </c>
      <c r="O442" s="237">
        <f>+IF(O4="N/A",0,IF('INITIAL DATA'!E91="CONTRACTOR BASE",$E$442*((O11-N11)*1.1),0))</f>
        <v>0</v>
      </c>
      <c r="P442" s="237">
        <f>+IF(P4="N/A",0,IF('INITIAL DATA'!F91="CONTRACTOR BASE",$E$442*((P11-O11)*1.1),0))</f>
        <v>0</v>
      </c>
      <c r="Q442" s="237">
        <f>+IF(Q4="N/A",0,IF('INITIAL DATA'!G91="CONTRACTOR BASE",$E$442*((Q11-P11)*1.1),0))</f>
        <v>0</v>
      </c>
      <c r="R442" s="237">
        <f>+IF(R4="N/A",0,IF('INITIAL DATA'!H91="CONTRACTOR BASE",$E$442*((R11)*1.1),0))</f>
        <v>0</v>
      </c>
      <c r="S442" s="48"/>
      <c r="T442" s="48">
        <f t="shared" si="160"/>
        <v>0</v>
      </c>
    </row>
    <row r="443" spans="1:20" x14ac:dyDescent="0.2">
      <c r="B443" s="43">
        <v>3</v>
      </c>
      <c r="C443" s="85">
        <v>11401803</v>
      </c>
      <c r="D443" s="47" t="str">
        <f>+IF(G443="","",VLOOKUP('AFE DETAILED'!C443,'AVERAGE COST'!$B:$D,3,0))</f>
        <v>DAY</v>
      </c>
      <c r="E443" s="48">
        <f>+IF(C443="",0,VLOOKUP(C443,'AVERAGE COST'!$B$3:$E$995,4))</f>
        <v>0</v>
      </c>
      <c r="F443" s="47" t="s">
        <v>237</v>
      </c>
      <c r="G443" s="43">
        <v>114018</v>
      </c>
      <c r="H443" s="47" t="s">
        <v>343</v>
      </c>
      <c r="I443" s="155"/>
      <c r="J443" s="155"/>
      <c r="K443" s="48">
        <v>0</v>
      </c>
      <c r="L443" s="48">
        <v>0</v>
      </c>
      <c r="M443" s="237">
        <f>+IF(M441=0,0,$E$443*ROUNDUP((M11-L11)/500,0))</f>
        <v>0</v>
      </c>
      <c r="N443" s="237">
        <f t="shared" ref="N443:Q443" si="161">+IF(N441=0,0,$E$443*ROUNDUP((N11-M11)/500,0))</f>
        <v>0</v>
      </c>
      <c r="O443" s="237">
        <f t="shared" si="161"/>
        <v>0</v>
      </c>
      <c r="P443" s="237">
        <f t="shared" si="161"/>
        <v>0</v>
      </c>
      <c r="Q443" s="237">
        <f t="shared" si="161"/>
        <v>0</v>
      </c>
      <c r="R443" s="237">
        <f>+IF(R441=0,0,$E$443*ROUNDUP((R11)/500,0))</f>
        <v>0</v>
      </c>
      <c r="S443" s="48"/>
      <c r="T443" s="48">
        <f t="shared" si="160"/>
        <v>0</v>
      </c>
    </row>
    <row r="444" spans="1:20" ht="26.25" customHeight="1" x14ac:dyDescent="0.2">
      <c r="B444" s="43">
        <v>4</v>
      </c>
      <c r="C444" s="85">
        <v>11401804</v>
      </c>
      <c r="D444" s="47" t="str">
        <f>+IF(G444="","",VLOOKUP('AFE DETAILED'!C444,'AVERAGE COST'!$B:$D,3,0))</f>
        <v>GLOBAL</v>
      </c>
      <c r="E444" s="48">
        <f>+IF(C444="",0,VLOOKUP(C444,'AVERAGE COST'!$B$3:$E$995,4))</f>
        <v>0</v>
      </c>
      <c r="F444" s="47" t="s">
        <v>203</v>
      </c>
      <c r="G444" s="43">
        <v>114018</v>
      </c>
      <c r="H444" s="47" t="s">
        <v>343</v>
      </c>
      <c r="I444" s="155"/>
      <c r="J444" s="155"/>
      <c r="K444" s="48">
        <v>0</v>
      </c>
      <c r="L444" s="48">
        <v>0</v>
      </c>
      <c r="M444" s="237">
        <f>+IF(M441=0,0,$E$444)</f>
        <v>0</v>
      </c>
      <c r="N444" s="237">
        <f t="shared" ref="N444:R444" si="162">+IF(N441=0,0,$E$444)</f>
        <v>0</v>
      </c>
      <c r="O444" s="237">
        <f t="shared" si="162"/>
        <v>0</v>
      </c>
      <c r="P444" s="237">
        <f t="shared" si="162"/>
        <v>0</v>
      </c>
      <c r="Q444" s="237">
        <f t="shared" si="162"/>
        <v>0</v>
      </c>
      <c r="R444" s="237">
        <f t="shared" si="162"/>
        <v>0</v>
      </c>
      <c r="S444" s="48"/>
      <c r="T444" s="48">
        <f t="shared" si="160"/>
        <v>0</v>
      </c>
    </row>
    <row r="445" spans="1:20" x14ac:dyDescent="0.2">
      <c r="B445" s="43">
        <v>5</v>
      </c>
      <c r="C445" s="85">
        <v>11401805</v>
      </c>
      <c r="D445" s="47" t="str">
        <f>+IF(G445="","",VLOOKUP('AFE DETAILED'!C445,'AVERAGE COST'!$B:$D,3,0))</f>
        <v>GLOBAL</v>
      </c>
      <c r="E445" s="48">
        <f>+IF(C445="",0,VLOOKUP(C445,'AVERAGE COST'!$B$3:$E$995,4))</f>
        <v>0</v>
      </c>
      <c r="F445" s="47" t="s">
        <v>98</v>
      </c>
      <c r="G445" s="43">
        <v>114018</v>
      </c>
      <c r="H445" s="47" t="s">
        <v>343</v>
      </c>
      <c r="I445" s="155"/>
      <c r="J445" s="155"/>
      <c r="K445" s="48">
        <v>0</v>
      </c>
      <c r="L445" s="48">
        <v>0</v>
      </c>
      <c r="M445" s="237">
        <v>0</v>
      </c>
      <c r="N445" s="237">
        <v>0</v>
      </c>
      <c r="O445" s="237">
        <v>0</v>
      </c>
      <c r="P445" s="237">
        <v>0</v>
      </c>
      <c r="Q445" s="237">
        <v>0</v>
      </c>
      <c r="R445" s="48">
        <v>0</v>
      </c>
      <c r="S445" s="48"/>
      <c r="T445" s="48">
        <f t="shared" si="160"/>
        <v>0</v>
      </c>
    </row>
    <row r="446" spans="1:20" x14ac:dyDescent="0.2">
      <c r="B446" s="43">
        <v>6</v>
      </c>
      <c r="C446" s="155"/>
      <c r="D446" s="265"/>
      <c r="E446" s="266"/>
      <c r="F446" s="265"/>
      <c r="G446" s="43">
        <v>114018</v>
      </c>
      <c r="H446" s="47" t="s">
        <v>343</v>
      </c>
      <c r="I446" s="155"/>
      <c r="J446" s="155"/>
      <c r="K446" s="269">
        <v>0</v>
      </c>
      <c r="L446" s="269">
        <v>0</v>
      </c>
      <c r="M446" s="267"/>
      <c r="N446" s="267"/>
      <c r="O446" s="267"/>
      <c r="P446" s="267"/>
      <c r="Q446" s="267"/>
      <c r="R446" s="266"/>
      <c r="S446" s="48"/>
      <c r="T446" s="48">
        <f t="shared" si="160"/>
        <v>0</v>
      </c>
    </row>
    <row r="447" spans="1:20" x14ac:dyDescent="0.2">
      <c r="B447" s="43">
        <v>7</v>
      </c>
      <c r="C447" s="155"/>
      <c r="D447" s="265"/>
      <c r="E447" s="266"/>
      <c r="F447" s="265"/>
      <c r="G447" s="43">
        <v>114018</v>
      </c>
      <c r="H447" s="47" t="s">
        <v>343</v>
      </c>
      <c r="I447" s="155"/>
      <c r="J447" s="155"/>
      <c r="K447" s="269">
        <v>0</v>
      </c>
      <c r="L447" s="269">
        <v>0</v>
      </c>
      <c r="M447" s="267"/>
      <c r="N447" s="267"/>
      <c r="O447" s="267"/>
      <c r="P447" s="267"/>
      <c r="Q447" s="267"/>
      <c r="R447" s="266"/>
      <c r="S447" s="48"/>
      <c r="T447" s="48">
        <f t="shared" si="160"/>
        <v>0</v>
      </c>
    </row>
    <row r="448" spans="1:20" x14ac:dyDescent="0.2">
      <c r="B448" s="43">
        <v>8</v>
      </c>
      <c r="C448" s="155"/>
      <c r="D448" s="265"/>
      <c r="E448" s="266"/>
      <c r="F448" s="265"/>
      <c r="G448" s="43">
        <v>114018</v>
      </c>
      <c r="H448" s="47" t="s">
        <v>343</v>
      </c>
      <c r="I448" s="155"/>
      <c r="J448" s="155"/>
      <c r="K448" s="269">
        <v>0</v>
      </c>
      <c r="L448" s="269">
        <v>0</v>
      </c>
      <c r="M448" s="267"/>
      <c r="N448" s="267"/>
      <c r="O448" s="267"/>
      <c r="P448" s="267"/>
      <c r="Q448" s="267"/>
      <c r="R448" s="266"/>
      <c r="S448" s="48"/>
      <c r="T448" s="48">
        <f t="shared" si="160"/>
        <v>0</v>
      </c>
    </row>
    <row r="449" spans="1:20" s="27" customFormat="1" x14ac:dyDescent="0.2">
      <c r="A449" s="28"/>
      <c r="B449" s="43">
        <v>9</v>
      </c>
      <c r="C449" s="155"/>
      <c r="D449" s="265"/>
      <c r="E449" s="266"/>
      <c r="F449" s="265"/>
      <c r="G449" s="43">
        <v>114018</v>
      </c>
      <c r="H449" s="47" t="s">
        <v>343</v>
      </c>
      <c r="I449" s="155"/>
      <c r="J449" s="155"/>
      <c r="K449" s="269">
        <v>0</v>
      </c>
      <c r="L449" s="269">
        <v>0</v>
      </c>
      <c r="M449" s="267"/>
      <c r="N449" s="267"/>
      <c r="O449" s="267"/>
      <c r="P449" s="267"/>
      <c r="Q449" s="267"/>
      <c r="R449" s="266"/>
      <c r="S449" s="48"/>
      <c r="T449" s="48">
        <f t="shared" si="160"/>
        <v>0</v>
      </c>
    </row>
    <row r="450" spans="1:20" s="27" customFormat="1" x14ac:dyDescent="0.2">
      <c r="A450" s="28"/>
      <c r="B450" s="66" t="s">
        <v>32</v>
      </c>
      <c r="C450" s="67"/>
      <c r="D450" s="68"/>
      <c r="E450" s="92" t="s">
        <v>345</v>
      </c>
      <c r="F450" s="106"/>
      <c r="G450" s="67"/>
      <c r="H450" s="68"/>
      <c r="I450" s="69"/>
      <c r="J450" s="69"/>
      <c r="K450" s="49">
        <f>SUM(K441:K449)</f>
        <v>0</v>
      </c>
      <c r="L450" s="49">
        <f t="shared" ref="L450:T450" si="163">SUM(L441:L449)</f>
        <v>0</v>
      </c>
      <c r="M450" s="238">
        <f t="shared" si="163"/>
        <v>0</v>
      </c>
      <c r="N450" s="238">
        <f t="shared" si="163"/>
        <v>0</v>
      </c>
      <c r="O450" s="238">
        <f t="shared" si="163"/>
        <v>0</v>
      </c>
      <c r="P450" s="238">
        <f t="shared" si="163"/>
        <v>0</v>
      </c>
      <c r="Q450" s="238">
        <f t="shared" si="163"/>
        <v>0</v>
      </c>
      <c r="R450" s="49">
        <f t="shared" si="163"/>
        <v>0</v>
      </c>
      <c r="S450" s="49"/>
      <c r="T450" s="49">
        <f t="shared" si="163"/>
        <v>0</v>
      </c>
    </row>
    <row r="451" spans="1:20" s="27" customFormat="1" x14ac:dyDescent="0.2">
      <c r="A451" s="28"/>
      <c r="B451" s="66" t="s">
        <v>344</v>
      </c>
      <c r="C451" s="67"/>
      <c r="D451" s="68"/>
      <c r="E451" s="92" t="s">
        <v>348</v>
      </c>
      <c r="F451" s="106"/>
      <c r="G451" s="67"/>
      <c r="H451" s="68"/>
      <c r="I451" s="69"/>
      <c r="J451" s="69"/>
      <c r="K451" s="70"/>
      <c r="L451" s="70"/>
      <c r="M451" s="242"/>
      <c r="N451" s="242"/>
      <c r="O451" s="242"/>
      <c r="P451" s="242"/>
      <c r="Q451" s="242"/>
      <c r="R451" s="70"/>
      <c r="S451" s="70"/>
      <c r="T451" s="71"/>
    </row>
    <row r="452" spans="1:20" ht="25.5" x14ac:dyDescent="0.2">
      <c r="B452" s="43">
        <v>1</v>
      </c>
      <c r="C452" s="85">
        <v>11401902</v>
      </c>
      <c r="D452" s="47" t="str">
        <f>+IF(G452="","",VLOOKUP('AFE DETAILED'!C452,'AVERAGE COST'!$B:$D,3,0))</f>
        <v>BBL</v>
      </c>
      <c r="E452" s="48">
        <f>+IF(C452="",0,VLOOKUP(C452,'AVERAGE COST'!$B$3:$E$995,4))</f>
        <v>0</v>
      </c>
      <c r="F452" s="47" t="s">
        <v>350</v>
      </c>
      <c r="G452" s="43">
        <v>114019</v>
      </c>
      <c r="H452" s="47" t="s">
        <v>351</v>
      </c>
      <c r="I452" s="155"/>
      <c r="J452" s="155"/>
      <c r="K452" s="48">
        <v>0</v>
      </c>
      <c r="L452" s="48">
        <v>0</v>
      </c>
      <c r="M452" s="237">
        <f>+IF(M456=0,0,((((((OPERATIONS!E6^2)*M11)/1029.5)*5.61))*$E$452*0.25)*1.3)</f>
        <v>0</v>
      </c>
      <c r="N452" s="237">
        <f>+IF(N456=0,0,((((((OPERATIONS!F6^2)*N11)/1029.5)*5.61))*$E$452*0.25)*1.3)</f>
        <v>0</v>
      </c>
      <c r="O452" s="237">
        <f>+IF(O456=0,0,((((((OPERATIONS!G6^2)*O11)/1029.5)*5.61))*$E$452*0.25)*1.3)</f>
        <v>0</v>
      </c>
      <c r="P452" s="237">
        <f>+IF(P456=0,0,((((((OPERATIONS!H6^2)*P11)/1029.5)*5.61))*$E$452*0.25)*1.3)</f>
        <v>0</v>
      </c>
      <c r="Q452" s="237">
        <f>+IF(Q456=0,0,((((((OPERATIONS!I6^2)*Q11)/1029.5)*5.61))*$E$452*0.25)*1.3)</f>
        <v>0</v>
      </c>
      <c r="R452" s="48">
        <v>0</v>
      </c>
      <c r="S452" s="48"/>
      <c r="T452" s="48">
        <f t="shared" ref="T452:T459" si="164">SUM(K452:R452)</f>
        <v>0</v>
      </c>
    </row>
    <row r="453" spans="1:20" ht="25.5" x14ac:dyDescent="0.2">
      <c r="B453" s="43">
        <v>2</v>
      </c>
      <c r="C453" s="85">
        <v>11401906</v>
      </c>
      <c r="D453" s="47" t="str">
        <f>+IF(G453="","",VLOOKUP('AFE DETAILED'!C453,'AVERAGE COST'!$B:$D,3,0))</f>
        <v>GLOBAL</v>
      </c>
      <c r="E453" s="48">
        <f>+IF(C453="",0,VLOOKUP(C453,'AVERAGE COST'!$B$3:$E$995,4))</f>
        <v>0</v>
      </c>
      <c r="F453" s="47" t="s">
        <v>352</v>
      </c>
      <c r="G453" s="43">
        <v>114019</v>
      </c>
      <c r="H453" s="47" t="s">
        <v>351</v>
      </c>
      <c r="I453" s="155"/>
      <c r="J453" s="155"/>
      <c r="K453" s="48">
        <v>0</v>
      </c>
      <c r="L453" s="48">
        <v>0</v>
      </c>
      <c r="M453" s="237">
        <f>+IF(M456=0,0,E453)</f>
        <v>0</v>
      </c>
      <c r="N453" s="237">
        <f>+IF(N456=0,0,IF(AND(M453=0),$E$453,0))</f>
        <v>0</v>
      </c>
      <c r="O453" s="237">
        <f>+IF(O456=0,0,IF(AND(N453=0,M453=0),$E$453,0))</f>
        <v>0</v>
      </c>
      <c r="P453" s="237">
        <f>+IF(P456=0,0,IF(AND(O453=0,M453=0,N453=0),$E$453,0))</f>
        <v>0</v>
      </c>
      <c r="Q453" s="237">
        <f>+IF(Q456=0,0,IF(AND(P453=0,O453=0,M453=0,N453=0),$E$453,0))</f>
        <v>0</v>
      </c>
      <c r="R453" s="237">
        <f>+IF(R456=0,0,IF(AND(Q453=0,P453=0,N453=0,O453=0,M453=0),$E$453,0))</f>
        <v>0</v>
      </c>
      <c r="S453" s="48"/>
      <c r="T453" s="48">
        <f t="shared" si="164"/>
        <v>0</v>
      </c>
    </row>
    <row r="454" spans="1:20" ht="25.5" x14ac:dyDescent="0.2">
      <c r="B454" s="43">
        <v>3</v>
      </c>
      <c r="C454" s="85">
        <v>11401911</v>
      </c>
      <c r="D454" s="47" t="str">
        <f>+IF(G454="","",VLOOKUP('AFE DETAILED'!C454,'AVERAGE COST'!$B:$D,3,0))</f>
        <v>DAY</v>
      </c>
      <c r="E454" s="48">
        <f>+IF(C454="",0,VLOOKUP(C454,'AVERAGE COST'!$B$3:$E$995,4))</f>
        <v>0</v>
      </c>
      <c r="F454" s="47" t="s">
        <v>237</v>
      </c>
      <c r="G454" s="43">
        <v>114019</v>
      </c>
      <c r="H454" s="47" t="s">
        <v>351</v>
      </c>
      <c r="I454" s="155"/>
      <c r="J454" s="155"/>
      <c r="K454" s="48">
        <v>0</v>
      </c>
      <c r="L454" s="48">
        <v>0</v>
      </c>
      <c r="M454" s="237">
        <f t="shared" ref="M454:R454" si="165">+IF(M456=0,0,$E$454*ROUNDUP(M8+M9,0))</f>
        <v>0</v>
      </c>
      <c r="N454" s="237">
        <f t="shared" si="165"/>
        <v>0</v>
      </c>
      <c r="O454" s="237">
        <f t="shared" si="165"/>
        <v>0</v>
      </c>
      <c r="P454" s="237">
        <f t="shared" si="165"/>
        <v>0</v>
      </c>
      <c r="Q454" s="237">
        <f t="shared" si="165"/>
        <v>0</v>
      </c>
      <c r="R454" s="237">
        <f t="shared" si="165"/>
        <v>0</v>
      </c>
      <c r="S454" s="48"/>
      <c r="T454" s="48">
        <f t="shared" si="164"/>
        <v>0</v>
      </c>
    </row>
    <row r="455" spans="1:20" ht="25.5" x14ac:dyDescent="0.2">
      <c r="B455" s="43">
        <v>4</v>
      </c>
      <c r="C455" s="85">
        <v>11401912</v>
      </c>
      <c r="D455" s="47" t="str">
        <f>+IF(G455="","",VLOOKUP('AFE DETAILED'!C455,'AVERAGE COST'!$B:$D,3,0))</f>
        <v>GLOBAL</v>
      </c>
      <c r="E455" s="48">
        <f>+IF(C455="",0,VLOOKUP(C455,'AVERAGE COST'!$B$3:$E$995,4))</f>
        <v>0</v>
      </c>
      <c r="F455" s="47" t="s">
        <v>98</v>
      </c>
      <c r="G455" s="43">
        <v>114019</v>
      </c>
      <c r="H455" s="47" t="s">
        <v>351</v>
      </c>
      <c r="I455" s="155"/>
      <c r="J455" s="155"/>
      <c r="K455" s="48">
        <v>0</v>
      </c>
      <c r="L455" s="48">
        <v>0</v>
      </c>
      <c r="M455" s="237">
        <v>0</v>
      </c>
      <c r="N455" s="237">
        <v>0</v>
      </c>
      <c r="O455" s="237">
        <v>0</v>
      </c>
      <c r="P455" s="237">
        <v>0</v>
      </c>
      <c r="Q455" s="237">
        <v>0</v>
      </c>
      <c r="R455" s="48">
        <v>0</v>
      </c>
      <c r="S455" s="48"/>
      <c r="T455" s="48">
        <f t="shared" si="164"/>
        <v>0</v>
      </c>
    </row>
    <row r="456" spans="1:20" ht="25.5" x14ac:dyDescent="0.2">
      <c r="B456" s="43">
        <v>5</v>
      </c>
      <c r="C456" s="85">
        <v>11401913</v>
      </c>
      <c r="D456" s="47" t="str">
        <f>+IF(G456="","",VLOOKUP('AFE DETAILED'!C456,'AVERAGE COST'!$B:$D,3,0))</f>
        <v>DAY</v>
      </c>
      <c r="E456" s="48">
        <f>+IF(C456="",0,VLOOKUP(C456,'AVERAGE COST'!$B$3:$E$995,4))</f>
        <v>0</v>
      </c>
      <c r="F456" s="47" t="s">
        <v>353</v>
      </c>
      <c r="G456" s="43">
        <v>114019</v>
      </c>
      <c r="H456" s="47" t="s">
        <v>351</v>
      </c>
      <c r="I456" s="155"/>
      <c r="J456" s="155"/>
      <c r="K456" s="48">
        <v>0</v>
      </c>
      <c r="L456" s="48">
        <v>0</v>
      </c>
      <c r="M456" s="237">
        <f>+IF(M4="N/A",0,ROUNDUP(M8+M9,0)*$E$456)</f>
        <v>0</v>
      </c>
      <c r="N456" s="237">
        <f t="shared" ref="N456:R456" si="166">+IF(N4="N/A",0,ROUNDUP(N8+N9,0)*$E$456)</f>
        <v>0</v>
      </c>
      <c r="O456" s="237">
        <f t="shared" si="166"/>
        <v>0</v>
      </c>
      <c r="P456" s="237">
        <f t="shared" si="166"/>
        <v>0</v>
      </c>
      <c r="Q456" s="237">
        <f t="shared" si="166"/>
        <v>0</v>
      </c>
      <c r="R456" s="237">
        <f t="shared" si="166"/>
        <v>0</v>
      </c>
      <c r="S456" s="48"/>
      <c r="T456" s="48">
        <f t="shared" si="164"/>
        <v>0</v>
      </c>
    </row>
    <row r="457" spans="1:20" ht="25.5" x14ac:dyDescent="0.2">
      <c r="B457" s="43">
        <v>6</v>
      </c>
      <c r="C457" s="85">
        <v>11401914</v>
      </c>
      <c r="D457" s="47" t="str">
        <f>+IF(G457="","",VLOOKUP('AFE DETAILED'!C457,'AVERAGE COST'!$B:$D,3,0))</f>
        <v>DAY</v>
      </c>
      <c r="E457" s="48">
        <f>+IF(C457="",0,VLOOKUP(C457,'AVERAGE COST'!$B$3:$E$995,4))</f>
        <v>0</v>
      </c>
      <c r="F457" s="47" t="s">
        <v>354</v>
      </c>
      <c r="G457" s="43">
        <v>114019</v>
      </c>
      <c r="H457" s="47" t="s">
        <v>351</v>
      </c>
      <c r="I457" s="155"/>
      <c r="J457" s="155"/>
      <c r="K457" s="48">
        <v>0</v>
      </c>
      <c r="L457" s="48">
        <v>0</v>
      </c>
      <c r="M457" s="237">
        <f>+IF(M456=0,0,ROUNDUP(('INITIAL DATA'!C29+'INITIAL DATA'!C30+'INITIAL DATA'!C31),0)*$E$457)</f>
        <v>0</v>
      </c>
      <c r="N457" s="237">
        <f>+IF(N456=0,0,ROUNDUP(('INITIAL DATA'!D29+'INITIAL DATA'!D30+'INITIAL DATA'!D31),0)*$E$457)</f>
        <v>0</v>
      </c>
      <c r="O457" s="237">
        <f>+IF(O456=0,0,ROUNDUP(('INITIAL DATA'!E29+'INITIAL DATA'!E30+'INITIAL DATA'!E31),0)*$E$457)</f>
        <v>0</v>
      </c>
      <c r="P457" s="237">
        <f>+IF(P456=0,0,ROUNDUP(('INITIAL DATA'!F29+'INITIAL DATA'!F30+'INITIAL DATA'!F31),0)*$E$457)</f>
        <v>0</v>
      </c>
      <c r="Q457" s="237">
        <f>+IF(Q456=0,0,ROUNDUP(('INITIAL DATA'!G29+'INITIAL DATA'!G30+'INITIAL DATA'!G31),0)*$E$457)</f>
        <v>0</v>
      </c>
      <c r="R457" s="237">
        <f>+IF(R456=0,0,ROUNDUP(('INITIAL DATA'!H29+'INITIAL DATA'!H30+'INITIAL DATA'!H31),0)*$E$457)</f>
        <v>0</v>
      </c>
      <c r="S457" s="48"/>
      <c r="T457" s="48">
        <f t="shared" si="164"/>
        <v>0</v>
      </c>
    </row>
    <row r="458" spans="1:20" ht="25.5" x14ac:dyDescent="0.2">
      <c r="B458" s="43">
        <v>7</v>
      </c>
      <c r="C458" s="85">
        <v>11401915</v>
      </c>
      <c r="D458" s="47" t="str">
        <f>+IF(G458="","",VLOOKUP('AFE DETAILED'!C458,'AVERAGE COST'!$B:$D,3,0))</f>
        <v>GLOBAL</v>
      </c>
      <c r="E458" s="48">
        <f>+IF(C458="",0,VLOOKUP(C458,'AVERAGE COST'!$B$3:$E$995,4))</f>
        <v>0</v>
      </c>
      <c r="F458" s="47" t="s">
        <v>355</v>
      </c>
      <c r="G458" s="43">
        <v>114019</v>
      </c>
      <c r="H458" s="47" t="s">
        <v>351</v>
      </c>
      <c r="I458" s="155"/>
      <c r="J458" s="155"/>
      <c r="K458" s="48">
        <v>0</v>
      </c>
      <c r="L458" s="48">
        <v>0</v>
      </c>
      <c r="M458" s="237">
        <f>+IF(M456=0,0,E458)</f>
        <v>0</v>
      </c>
      <c r="N458" s="237">
        <f>+IF(N456=0,0,IF(AND(M458=0),$E$458,0))</f>
        <v>0</v>
      </c>
      <c r="O458" s="237">
        <f>+IF(O456=0,0,IF(AND(N458=0,M458=0),$E$458,0))</f>
        <v>0</v>
      </c>
      <c r="P458" s="237">
        <f>+IF(P456=0,0,IF(AND(O458=0,M458=0,N458=0),$E$458,0))</f>
        <v>0</v>
      </c>
      <c r="Q458" s="237">
        <f>+IF(Q456=0,0,IF(AND(P458=0,O458=0,M458=0,N458=0),$E$458,0))</f>
        <v>0</v>
      </c>
      <c r="R458" s="237">
        <f>+IF(R456=0,0,IF(AND(Q458=0,P458=0,N458=0,O458=0,M458=0),$E$458,0))</f>
        <v>0</v>
      </c>
      <c r="S458" s="48"/>
      <c r="T458" s="48">
        <f t="shared" si="164"/>
        <v>0</v>
      </c>
    </row>
    <row r="459" spans="1:20" ht="25.5" x14ac:dyDescent="0.2">
      <c r="B459" s="43">
        <v>8</v>
      </c>
      <c r="C459" s="155"/>
      <c r="D459" s="265"/>
      <c r="E459" s="266"/>
      <c r="F459" s="265"/>
      <c r="G459" s="43">
        <v>114019</v>
      </c>
      <c r="H459" s="47" t="s">
        <v>351</v>
      </c>
      <c r="I459" s="155"/>
      <c r="J459" s="155"/>
      <c r="K459" s="269">
        <v>0</v>
      </c>
      <c r="L459" s="269">
        <v>0</v>
      </c>
      <c r="M459" s="267"/>
      <c r="N459" s="267"/>
      <c r="O459" s="267"/>
      <c r="P459" s="267"/>
      <c r="Q459" s="267"/>
      <c r="R459" s="266"/>
      <c r="S459" s="48"/>
      <c r="T459" s="48">
        <f t="shared" si="164"/>
        <v>0</v>
      </c>
    </row>
    <row r="460" spans="1:20" s="27" customFormat="1" x14ac:dyDescent="0.2">
      <c r="A460" s="28"/>
      <c r="B460" s="66" t="s">
        <v>32</v>
      </c>
      <c r="C460" s="67"/>
      <c r="D460" s="68"/>
      <c r="E460" s="92" t="s">
        <v>359</v>
      </c>
      <c r="F460" s="106"/>
      <c r="G460" s="67"/>
      <c r="H460" s="68"/>
      <c r="I460" s="69"/>
      <c r="J460" s="69"/>
      <c r="K460" s="49">
        <f>SUM(K452:K459)</f>
        <v>0</v>
      </c>
      <c r="L460" s="49">
        <f t="shared" ref="L460:T460" si="167">SUM(L452:L459)</f>
        <v>0</v>
      </c>
      <c r="M460" s="238">
        <f t="shared" si="167"/>
        <v>0</v>
      </c>
      <c r="N460" s="238">
        <f t="shared" si="167"/>
        <v>0</v>
      </c>
      <c r="O460" s="238">
        <f t="shared" si="167"/>
        <v>0</v>
      </c>
      <c r="P460" s="238">
        <f t="shared" si="167"/>
        <v>0</v>
      </c>
      <c r="Q460" s="238">
        <f t="shared" si="167"/>
        <v>0</v>
      </c>
      <c r="R460" s="49">
        <f t="shared" si="167"/>
        <v>0</v>
      </c>
      <c r="S460" s="49"/>
      <c r="T460" s="49">
        <f t="shared" si="167"/>
        <v>0</v>
      </c>
    </row>
    <row r="461" spans="1:20" s="27" customFormat="1" x14ac:dyDescent="0.2">
      <c r="A461" s="28"/>
      <c r="B461" s="66" t="s">
        <v>349</v>
      </c>
      <c r="C461" s="67"/>
      <c r="D461" s="68"/>
      <c r="E461" s="92" t="s">
        <v>358</v>
      </c>
      <c r="F461" s="106"/>
      <c r="G461" s="67"/>
      <c r="H461" s="68"/>
      <c r="I461" s="69"/>
      <c r="J461" s="69"/>
      <c r="K461" s="70"/>
      <c r="L461" s="70"/>
      <c r="M461" s="242"/>
      <c r="N461" s="242"/>
      <c r="O461" s="242"/>
      <c r="P461" s="242"/>
      <c r="Q461" s="242"/>
      <c r="R461" s="70"/>
      <c r="S461" s="70"/>
      <c r="T461" s="71"/>
    </row>
    <row r="462" spans="1:20" ht="25.5" x14ac:dyDescent="0.2">
      <c r="B462" s="43">
        <v>1</v>
      </c>
      <c r="C462" s="85">
        <v>11401901</v>
      </c>
      <c r="D462" s="47" t="str">
        <f>+IF(G462="","",VLOOKUP('AFE DETAILED'!C462,'AVERAGE COST'!$B:$D,3,0))</f>
        <v>DAY</v>
      </c>
      <c r="E462" s="48">
        <f>+IF(C462="",0,VLOOKUP(C462,'AVERAGE COST'!$B$3:$E$995,4))</f>
        <v>0</v>
      </c>
      <c r="F462" s="47" t="s">
        <v>356</v>
      </c>
      <c r="G462" s="43">
        <v>114019</v>
      </c>
      <c r="H462" s="47" t="s">
        <v>351</v>
      </c>
      <c r="I462" s="155"/>
      <c r="J462" s="155"/>
      <c r="K462" s="48">
        <v>0</v>
      </c>
      <c r="L462" s="48">
        <v>0</v>
      </c>
      <c r="M462" s="237">
        <f>+IF(M464=0,0,$E$462*ROUNDUP((((((OPERATIONS!E6^2)*M11)/1029.5)*5.61)/500),0))</f>
        <v>0</v>
      </c>
      <c r="N462" s="237">
        <f>+IF(N464=0,0,$E$462*ROUNDUP((((((OPERATIONS!F6^2)*N11)/1029.5)*5.61)/500),0))</f>
        <v>0</v>
      </c>
      <c r="O462" s="237">
        <f>+IF(O464=0,0,$E$462*ROUNDUP((((((OPERATIONS!G6^2)*O11)/1029.5)*5.61)/500),0))</f>
        <v>0</v>
      </c>
      <c r="P462" s="237">
        <f>+IF(P464=0,0,$E$462*ROUNDUP((((((OPERATIONS!H6^2)*P11)/1029.5)*5.61)/500),0))</f>
        <v>0</v>
      </c>
      <c r="Q462" s="237">
        <f>+IF(Q464=0,0,$E$462*ROUNDUP((((((OPERATIONS!I6^2)*Q11)/1029.5)*5.61)/500),0))</f>
        <v>0</v>
      </c>
      <c r="R462" s="237">
        <v>0</v>
      </c>
      <c r="S462" s="48"/>
      <c r="T462" s="48">
        <f t="shared" ref="T462:T472" si="168">SUM(K462:R462)</f>
        <v>0</v>
      </c>
    </row>
    <row r="463" spans="1:20" ht="25.5" x14ac:dyDescent="0.2">
      <c r="B463" s="43">
        <v>2</v>
      </c>
      <c r="C463" s="85">
        <v>11401903</v>
      </c>
      <c r="D463" s="47" t="str">
        <f>+IF(G463="","",VLOOKUP('AFE DETAILED'!C463,'AVERAGE COST'!$B:$D,3,0))</f>
        <v>DAY</v>
      </c>
      <c r="E463" s="48">
        <f>+IF(C463="",0,VLOOKUP(C463,'AVERAGE COST'!$B$3:$E$995,4))</f>
        <v>0</v>
      </c>
      <c r="F463" s="47" t="s">
        <v>360</v>
      </c>
      <c r="G463" s="43">
        <v>114019</v>
      </c>
      <c r="H463" s="47" t="s">
        <v>351</v>
      </c>
      <c r="I463" s="155"/>
      <c r="J463" s="155"/>
      <c r="K463" s="48">
        <v>0</v>
      </c>
      <c r="L463" s="48">
        <v>0</v>
      </c>
      <c r="M463" s="237">
        <f>+IF(M464=0,0,$E$463*ROUNDUP((((((OPERATIONS!E6^2)*M11)/1029.5)*5.61)/500),0))</f>
        <v>0</v>
      </c>
      <c r="N463" s="237">
        <f>+IF(N464=0,0,$E$463*ROUNDUP((((((OPERATIONS!F6^2)*N11)/1029.5)*5.61)/500),0))</f>
        <v>0</v>
      </c>
      <c r="O463" s="237">
        <f>+IF(O464=0,0,$E$463*ROUNDUP((((((OPERATIONS!G6^2)*O11)/1029.5)*5.61)/500),0))</f>
        <v>0</v>
      </c>
      <c r="P463" s="237">
        <f>+IF(P464=0,0,$E$463*ROUNDUP((((((OPERATIONS!H6^2)*P11)/1029.5)*5.61)/500),0))</f>
        <v>0</v>
      </c>
      <c r="Q463" s="237">
        <f>+IF(Q464=0,0,$E$463*ROUNDUP((((((OPERATIONS!I6^2)*Q11)/1029.5)*5.61)/500),0))</f>
        <v>0</v>
      </c>
      <c r="R463" s="237">
        <f>+IF(R464=0,0,$E$463*ROUNDUP((((((OPERATIONS!J6^2)*R11)/1029.5)*5.61)/500),0))</f>
        <v>0</v>
      </c>
      <c r="S463" s="48"/>
      <c r="T463" s="48">
        <f t="shared" si="168"/>
        <v>0</v>
      </c>
    </row>
    <row r="464" spans="1:20" ht="25.5" x14ac:dyDescent="0.2">
      <c r="B464" s="43">
        <v>3</v>
      </c>
      <c r="C464" s="85">
        <v>11401904</v>
      </c>
      <c r="D464" s="47" t="str">
        <f>+IF(G464="","",VLOOKUP('AFE DETAILED'!C464,'AVERAGE COST'!$B:$D,3,0))</f>
        <v>DAY</v>
      </c>
      <c r="E464" s="48">
        <f>+IF(C464="",0,VLOOKUP(C464,'AVERAGE COST'!$B$3:$E$995,4))</f>
        <v>0</v>
      </c>
      <c r="F464" s="47" t="s">
        <v>361</v>
      </c>
      <c r="G464" s="43">
        <v>114019</v>
      </c>
      <c r="H464" s="47" t="s">
        <v>351</v>
      </c>
      <c r="I464" s="155"/>
      <c r="J464" s="155"/>
      <c r="K464" s="48">
        <v>0</v>
      </c>
      <c r="L464" s="48">
        <v>0</v>
      </c>
      <c r="M464" s="237">
        <f>+IF(M4="N/A",0,$E$464*ROUNDUP(M8+M9,0))</f>
        <v>0</v>
      </c>
      <c r="N464" s="237">
        <f t="shared" ref="N464:R464" si="169">+IF(N4="N/A",0,$E$464*ROUNDUP(N8+N9,0))</f>
        <v>0</v>
      </c>
      <c r="O464" s="237">
        <f t="shared" si="169"/>
        <v>0</v>
      </c>
      <c r="P464" s="237">
        <f t="shared" si="169"/>
        <v>0</v>
      </c>
      <c r="Q464" s="237">
        <f t="shared" si="169"/>
        <v>0</v>
      </c>
      <c r="R464" s="237">
        <f t="shared" si="169"/>
        <v>0</v>
      </c>
      <c r="S464" s="48"/>
      <c r="T464" s="48">
        <f t="shared" si="168"/>
        <v>0</v>
      </c>
    </row>
    <row r="465" spans="1:20" ht="25.5" x14ac:dyDescent="0.2">
      <c r="B465" s="43">
        <v>4</v>
      </c>
      <c r="C465" s="85">
        <v>11401905</v>
      </c>
      <c r="D465" s="47" t="str">
        <f>+IF(G465="","",VLOOKUP('AFE DETAILED'!C465,'AVERAGE COST'!$B:$D,3,0))</f>
        <v>DAY</v>
      </c>
      <c r="E465" s="48">
        <f>+IF(C465="",0,VLOOKUP(C465,'AVERAGE COST'!$B$3:$E$995,4))</f>
        <v>0</v>
      </c>
      <c r="F465" s="47" t="s">
        <v>362</v>
      </c>
      <c r="G465" s="43">
        <v>114019</v>
      </c>
      <c r="H465" s="47" t="s">
        <v>351</v>
      </c>
      <c r="I465" s="155"/>
      <c r="J465" s="155"/>
      <c r="K465" s="48">
        <v>0</v>
      </c>
      <c r="L465" s="48">
        <v>0</v>
      </c>
      <c r="M465" s="237">
        <f>+IF(M456=0,0,ROUNDUP(('INITIAL DATA'!C29+'INITIAL DATA'!C30+'INITIAL DATA'!C31),0)*$E$465)</f>
        <v>0</v>
      </c>
      <c r="N465" s="237">
        <f>+IF(N456=0,0,ROUNDUP(('INITIAL DATA'!D29+'INITIAL DATA'!D30+'INITIAL DATA'!D31),0)*$E$465)</f>
        <v>0</v>
      </c>
      <c r="O465" s="237">
        <f>+IF(O456=0,0,ROUNDUP(('INITIAL DATA'!E29+'INITIAL DATA'!E30+'INITIAL DATA'!E31),0)*$E$465)</f>
        <v>0</v>
      </c>
      <c r="P465" s="237">
        <f>+IF(P456=0,0,ROUNDUP(('INITIAL DATA'!F29+'INITIAL DATA'!F30+'INITIAL DATA'!F31),0)*$E$465)</f>
        <v>0</v>
      </c>
      <c r="Q465" s="237">
        <f>+IF(Q456=0,0,ROUNDUP(('INITIAL DATA'!G29+'INITIAL DATA'!G30+'INITIAL DATA'!G31),0)*$E$465)</f>
        <v>0</v>
      </c>
      <c r="R465" s="237">
        <f>+IF(R456=0,0,ROUNDUP(('INITIAL DATA'!H29+'INITIAL DATA'!H30+'INITIAL DATA'!H31),0)*$E$465)</f>
        <v>0</v>
      </c>
      <c r="S465" s="48"/>
      <c r="T465" s="48">
        <f t="shared" si="168"/>
        <v>0</v>
      </c>
    </row>
    <row r="466" spans="1:20" ht="25.5" x14ac:dyDescent="0.2">
      <c r="B466" s="43">
        <v>5</v>
      </c>
      <c r="C466" s="85">
        <v>11401907</v>
      </c>
      <c r="D466" s="47" t="str">
        <f>+IF(G466="","",VLOOKUP('AFE DETAILED'!C466,'AVERAGE COST'!$B:$D,3,0))</f>
        <v>DAY</v>
      </c>
      <c r="E466" s="48">
        <f>+IF(C466="",0,VLOOKUP(C466,'AVERAGE COST'!$B$3:$E$995,4))</f>
        <v>0</v>
      </c>
      <c r="F466" s="47" t="s">
        <v>363</v>
      </c>
      <c r="G466" s="43">
        <v>114019</v>
      </c>
      <c r="H466" s="47" t="s">
        <v>351</v>
      </c>
      <c r="I466" s="155"/>
      <c r="J466" s="155"/>
      <c r="K466" s="48">
        <v>0</v>
      </c>
      <c r="L466" s="48">
        <v>0</v>
      </c>
      <c r="M466" s="237">
        <v>0</v>
      </c>
      <c r="N466" s="237">
        <v>0</v>
      </c>
      <c r="O466" s="237">
        <v>0</v>
      </c>
      <c r="P466" s="237">
        <v>0</v>
      </c>
      <c r="Q466" s="237">
        <v>0</v>
      </c>
      <c r="R466" s="48">
        <f>+IF(Q4="N/A",0,ROUNDUP(R9,0)*E466)</f>
        <v>0</v>
      </c>
      <c r="S466" s="48"/>
      <c r="T466" s="48">
        <f t="shared" si="168"/>
        <v>0</v>
      </c>
    </row>
    <row r="467" spans="1:20" ht="25.5" x14ac:dyDescent="0.2">
      <c r="B467" s="43">
        <v>6</v>
      </c>
      <c r="C467" s="85">
        <v>11401908</v>
      </c>
      <c r="D467" s="47" t="str">
        <f>+IF(G467="","",VLOOKUP('AFE DETAILED'!C467,'AVERAGE COST'!$B:$D,3,0))</f>
        <v>BBL</v>
      </c>
      <c r="E467" s="48">
        <f>+IF(C467="",0,VLOOKUP(C467,'AVERAGE COST'!$B$3:$E$995,4))</f>
        <v>0</v>
      </c>
      <c r="F467" s="47" t="s">
        <v>364</v>
      </c>
      <c r="G467" s="43">
        <v>114019</v>
      </c>
      <c r="H467" s="47" t="s">
        <v>351</v>
      </c>
      <c r="I467" s="155"/>
      <c r="J467" s="155"/>
      <c r="K467" s="48">
        <v>0</v>
      </c>
      <c r="L467" s="48">
        <v>0</v>
      </c>
      <c r="M467" s="237">
        <f>+IF(M464=0,0,((((((OPERATIONS!E6^2)*M11)/1029.5)*5.61))*$E$467*0.75)*1.3)</f>
        <v>0</v>
      </c>
      <c r="N467" s="237">
        <f>+IF(N464=0,0,((((((OPERATIONS!F6^2)*N11)/1029.5)*5.61))*$E$467*0.75)*1.3)</f>
        <v>0</v>
      </c>
      <c r="O467" s="237">
        <f>+IF(O464=0,0,((((((OPERATIONS!G6^2)*O11)/1029.5)*5.61))*$E$467*0.75)*1.3)</f>
        <v>0</v>
      </c>
      <c r="P467" s="237">
        <f>+IF(P464=0,0,((((((OPERATIONS!H6^2)*P11)/1029.5)*5.61))*$E$467*0.75)*1.3)</f>
        <v>0</v>
      </c>
      <c r="Q467" s="237">
        <f>+IF(Q464=0,0,((((((OPERATIONS!I6^2)*Q11)/1029.5)*5.61))*$E$467*0.75)*1.3)</f>
        <v>0</v>
      </c>
      <c r="R467" s="237">
        <f>+IF(R464=0,0,((0.057*R11)*$E$467*0.75)*1.3)</f>
        <v>0</v>
      </c>
      <c r="S467" s="48"/>
      <c r="T467" s="48">
        <f t="shared" si="168"/>
        <v>0</v>
      </c>
    </row>
    <row r="468" spans="1:20" ht="25.5" x14ac:dyDescent="0.2">
      <c r="B468" s="43">
        <v>7</v>
      </c>
      <c r="C468" s="85">
        <v>11401909</v>
      </c>
      <c r="D468" s="47" t="str">
        <f>+IF(G468="","",VLOOKUP('AFE DETAILED'!C468,'AVERAGE COST'!$B:$D,3,0))</f>
        <v>GLOBAL</v>
      </c>
      <c r="E468" s="48">
        <f>+IF(C468="",0,VLOOKUP(C468,'AVERAGE COST'!$B$3:$E$995,4))</f>
        <v>0</v>
      </c>
      <c r="F468" s="47" t="s">
        <v>365</v>
      </c>
      <c r="G468" s="43">
        <v>114019</v>
      </c>
      <c r="H468" s="47" t="s">
        <v>351</v>
      </c>
      <c r="I468" s="155"/>
      <c r="J468" s="155"/>
      <c r="K468" s="48">
        <v>0</v>
      </c>
      <c r="L468" s="48">
        <v>0</v>
      </c>
      <c r="M468" s="237">
        <f>+IF(M464=0,0,E468)</f>
        <v>0</v>
      </c>
      <c r="N468" s="237">
        <f>+IF(N464=0,0,IF(AND(M468=0),$E$468,0))</f>
        <v>0</v>
      </c>
      <c r="O468" s="237">
        <f>+IF(O464=0,0,IF(AND(N468=0,M468=0),$E$468,0))</f>
        <v>0</v>
      </c>
      <c r="P468" s="237">
        <f>+IF(P464=0,0,IF(AND(O468=0,M468=0,N468=0),$E$468,0))</f>
        <v>0</v>
      </c>
      <c r="Q468" s="237">
        <f>+IF(Q464=0,0,IF(AND(P468=0,O468=0,M468=0,N468=0),$E$468,0))</f>
        <v>0</v>
      </c>
      <c r="R468" s="237">
        <f>+IF(R464=0,0,IF(AND(Q468=0,P468=0,N468=0,O468=0,M468=0),$E$468,0))</f>
        <v>0</v>
      </c>
      <c r="S468" s="48"/>
      <c r="T468" s="48">
        <f t="shared" si="168"/>
        <v>0</v>
      </c>
    </row>
    <row r="469" spans="1:20" ht="25.5" x14ac:dyDescent="0.2">
      <c r="B469" s="43">
        <v>8</v>
      </c>
      <c r="C469" s="85">
        <v>11401910</v>
      </c>
      <c r="D469" s="47" t="str">
        <f>+IF(G469="","",VLOOKUP('AFE DETAILED'!C469,'AVERAGE COST'!$B:$D,3,0))</f>
        <v>DAY</v>
      </c>
      <c r="E469" s="48">
        <f>+IF(C469="",0,VLOOKUP(C469,'AVERAGE COST'!$B$3:$E$995,4))</f>
        <v>0</v>
      </c>
      <c r="F469" s="47" t="s">
        <v>366</v>
      </c>
      <c r="G469" s="43">
        <v>114019</v>
      </c>
      <c r="H469" s="47" t="s">
        <v>351</v>
      </c>
      <c r="I469" s="155"/>
      <c r="J469" s="155"/>
      <c r="K469" s="48">
        <v>0</v>
      </c>
      <c r="L469" s="48">
        <v>0</v>
      </c>
      <c r="M469" s="237">
        <f>+IF(M464=0,0,$E$469*ROUNDUP((((((OPERATIONS!E6^2)*M11)/1029.5)*5.61)/500),0))</f>
        <v>0</v>
      </c>
      <c r="N469" s="237">
        <f>+IF(N464=0,0,$E$469*ROUNDUP((((((OPERATIONS!F6^2)*N11)/1029.5)*5.61)/500),0))</f>
        <v>0</v>
      </c>
      <c r="O469" s="237">
        <f>+IF(O464=0,0,$E$469*ROUNDUP((((((OPERATIONS!G6^2)*O11)/1029.5)*5.61)/500),0))</f>
        <v>0</v>
      </c>
      <c r="P469" s="237">
        <f>+IF(P464=0,0,$E$469*ROUNDUP((((((OPERATIONS!H6^2)*P11)/1029.5)*5.61)/500),0))</f>
        <v>0</v>
      </c>
      <c r="Q469" s="237">
        <f>+IF(Q464=0,0,$E$469*ROUNDUP((((((OPERATIONS!I6^2)*Q11)/1029.5)*5.61)/500),0))</f>
        <v>0</v>
      </c>
      <c r="R469" s="237">
        <f>+IF(R464=0,0,$E$469*ROUNDUP(0.057*R11,0))</f>
        <v>0</v>
      </c>
      <c r="S469" s="48"/>
      <c r="T469" s="48">
        <f t="shared" si="168"/>
        <v>0</v>
      </c>
    </row>
    <row r="470" spans="1:20" ht="25.5" x14ac:dyDescent="0.2">
      <c r="B470" s="43">
        <v>9</v>
      </c>
      <c r="C470" s="85">
        <v>11401916</v>
      </c>
      <c r="D470" s="47" t="str">
        <f>+IF(G470="","",VLOOKUP('AFE DETAILED'!C470,'AVERAGE COST'!$B:$D,3,0))</f>
        <v>DAY</v>
      </c>
      <c r="E470" s="48">
        <f>+IF(C470="",0,VLOOKUP(C470,'AVERAGE COST'!$B$3:$E$995,4))</f>
        <v>0</v>
      </c>
      <c r="F470" s="47" t="s">
        <v>367</v>
      </c>
      <c r="G470" s="43">
        <v>114019</v>
      </c>
      <c r="H470" s="47" t="s">
        <v>351</v>
      </c>
      <c r="I470" s="155"/>
      <c r="J470" s="155"/>
      <c r="K470" s="48">
        <v>0</v>
      </c>
      <c r="L470" s="48">
        <v>0</v>
      </c>
      <c r="M470" s="237">
        <v>0</v>
      </c>
      <c r="N470" s="237">
        <v>0</v>
      </c>
      <c r="O470" s="237">
        <v>0</v>
      </c>
      <c r="P470" s="237">
        <v>0</v>
      </c>
      <c r="Q470" s="237">
        <v>0</v>
      </c>
      <c r="R470" s="48">
        <f>+IF(Q4="N/A",0,ROUNDUP(R9,0)*E470)</f>
        <v>0</v>
      </c>
      <c r="S470" s="48"/>
      <c r="T470" s="48">
        <f t="shared" si="168"/>
        <v>0</v>
      </c>
    </row>
    <row r="471" spans="1:20" ht="25.5" x14ac:dyDescent="0.2">
      <c r="B471" s="43">
        <v>10</v>
      </c>
      <c r="C471" s="85">
        <v>11401917</v>
      </c>
      <c r="D471" s="47" t="str">
        <f>+IF(G471="","",VLOOKUP('AFE DETAILED'!C471,'AVERAGE COST'!$B:$D,3,0))</f>
        <v>DAY</v>
      </c>
      <c r="E471" s="48">
        <f>+IF(C471="",0,VLOOKUP(C471,'AVERAGE COST'!$B$3:$E$995,4))</f>
        <v>0</v>
      </c>
      <c r="F471" s="47" t="s">
        <v>368</v>
      </c>
      <c r="G471" s="43">
        <v>114019</v>
      </c>
      <c r="H471" s="47" t="s">
        <v>351</v>
      </c>
      <c r="I471" s="155"/>
      <c r="J471" s="155"/>
      <c r="K471" s="48">
        <v>0</v>
      </c>
      <c r="L471" s="48">
        <v>0</v>
      </c>
      <c r="M471" s="237">
        <f>+IF(M4="N/A",0,$E$471*ROUNDUP(M8+M9,0))</f>
        <v>0</v>
      </c>
      <c r="N471" s="237">
        <f t="shared" ref="N471:R471" si="170">+IF(N4="N/A",0,$E$471*ROUNDUP(N8+N9,0))</f>
        <v>0</v>
      </c>
      <c r="O471" s="237">
        <f t="shared" si="170"/>
        <v>0</v>
      </c>
      <c r="P471" s="237">
        <f t="shared" si="170"/>
        <v>0</v>
      </c>
      <c r="Q471" s="237">
        <f t="shared" si="170"/>
        <v>0</v>
      </c>
      <c r="R471" s="237">
        <f t="shared" si="170"/>
        <v>0</v>
      </c>
      <c r="S471" s="48"/>
      <c r="T471" s="48">
        <f t="shared" si="168"/>
        <v>0</v>
      </c>
    </row>
    <row r="472" spans="1:20" ht="25.5" x14ac:dyDescent="0.2">
      <c r="B472" s="43">
        <v>11</v>
      </c>
      <c r="C472" s="155"/>
      <c r="D472" s="265"/>
      <c r="E472" s="266"/>
      <c r="F472" s="265"/>
      <c r="G472" s="43">
        <v>114019</v>
      </c>
      <c r="H472" s="47" t="s">
        <v>351</v>
      </c>
      <c r="I472" s="155"/>
      <c r="J472" s="155"/>
      <c r="K472" s="269">
        <v>0</v>
      </c>
      <c r="L472" s="269">
        <v>0</v>
      </c>
      <c r="M472" s="267"/>
      <c r="N472" s="267"/>
      <c r="O472" s="267"/>
      <c r="P472" s="267"/>
      <c r="Q472" s="267"/>
      <c r="R472" s="266"/>
      <c r="S472" s="48"/>
      <c r="T472" s="48">
        <f t="shared" si="168"/>
        <v>0</v>
      </c>
    </row>
    <row r="473" spans="1:20" s="27" customFormat="1" x14ac:dyDescent="0.2">
      <c r="A473" s="28"/>
      <c r="B473" s="66" t="s">
        <v>32</v>
      </c>
      <c r="C473" s="67"/>
      <c r="D473" s="68"/>
      <c r="E473" s="92" t="s">
        <v>369</v>
      </c>
      <c r="F473" s="106"/>
      <c r="G473" s="67"/>
      <c r="H473" s="68"/>
      <c r="I473" s="69"/>
      <c r="J473" s="69"/>
      <c r="K473" s="49">
        <f>SUM(K462:K472)</f>
        <v>0</v>
      </c>
      <c r="L473" s="49">
        <f t="shared" ref="L473:T473" si="171">SUM(L462:L472)</f>
        <v>0</v>
      </c>
      <c r="M473" s="238">
        <f t="shared" si="171"/>
        <v>0</v>
      </c>
      <c r="N473" s="238">
        <f t="shared" si="171"/>
        <v>0</v>
      </c>
      <c r="O473" s="238">
        <f t="shared" si="171"/>
        <v>0</v>
      </c>
      <c r="P473" s="238">
        <f t="shared" si="171"/>
        <v>0</v>
      </c>
      <c r="Q473" s="238">
        <f t="shared" si="171"/>
        <v>0</v>
      </c>
      <c r="R473" s="49">
        <f>SUM(R462:R472)</f>
        <v>0</v>
      </c>
      <c r="S473" s="49"/>
      <c r="T473" s="49">
        <f t="shared" si="171"/>
        <v>0</v>
      </c>
    </row>
    <row r="474" spans="1:20" s="27" customFormat="1" x14ac:dyDescent="0.2">
      <c r="A474" s="28"/>
      <c r="B474" s="66" t="s">
        <v>357</v>
      </c>
      <c r="C474" s="67"/>
      <c r="D474" s="68"/>
      <c r="E474" s="92" t="s">
        <v>370</v>
      </c>
      <c r="F474" s="106"/>
      <c r="G474" s="67"/>
      <c r="H474" s="68"/>
      <c r="I474" s="69"/>
      <c r="J474" s="69"/>
      <c r="K474" s="70"/>
      <c r="L474" s="70"/>
      <c r="M474" s="242"/>
      <c r="N474" s="242"/>
      <c r="O474" s="242"/>
      <c r="P474" s="242"/>
      <c r="Q474" s="242"/>
      <c r="R474" s="70"/>
      <c r="S474" s="70"/>
      <c r="T474" s="71"/>
    </row>
    <row r="475" spans="1:20" ht="25.5" x14ac:dyDescent="0.2">
      <c r="B475" s="43">
        <v>1</v>
      </c>
      <c r="C475" s="85">
        <v>11402001</v>
      </c>
      <c r="D475" s="47" t="str">
        <f>+IF(G475="","",VLOOKUP('AFE DETAILED'!C475,'AVERAGE COST'!$B:$D,3,0))</f>
        <v>DAY</v>
      </c>
      <c r="E475" s="48">
        <f>+IF(C475="",0,VLOOKUP(C475,'AVERAGE COST'!$B$3:$E$995,4))</f>
        <v>0</v>
      </c>
      <c r="F475" s="47" t="s">
        <v>371</v>
      </c>
      <c r="G475" s="43">
        <v>114020</v>
      </c>
      <c r="H475" s="47" t="s">
        <v>370</v>
      </c>
      <c r="I475" s="155"/>
      <c r="J475" s="155"/>
      <c r="K475" s="48">
        <v>0</v>
      </c>
      <c r="L475" s="48">
        <v>0</v>
      </c>
      <c r="M475" s="237">
        <v>0</v>
      </c>
      <c r="N475" s="237">
        <v>0</v>
      </c>
      <c r="O475" s="237">
        <v>0</v>
      </c>
      <c r="P475" s="237">
        <v>0</v>
      </c>
      <c r="Q475" s="237">
        <v>0</v>
      </c>
      <c r="R475" s="48">
        <f>+IF(R4="N/A",0,IF('INITIAL DATA'!H92="yes",E475*ROUNDUP(R9,0),0))</f>
        <v>0</v>
      </c>
      <c r="S475" s="48"/>
      <c r="T475" s="48">
        <f t="shared" ref="T475:T478" si="172">SUM(K475:R475)</f>
        <v>0</v>
      </c>
    </row>
    <row r="476" spans="1:20" ht="25.5" x14ac:dyDescent="0.2">
      <c r="B476" s="43">
        <v>2</v>
      </c>
      <c r="C476" s="85">
        <v>11402002</v>
      </c>
      <c r="D476" s="47" t="str">
        <f>+IF(G476="","",VLOOKUP('AFE DETAILED'!C476,'AVERAGE COST'!$B:$D,3,0))</f>
        <v>GLOBAL</v>
      </c>
      <c r="E476" s="48">
        <f>+IF(C476="",0,VLOOKUP(C476,'AVERAGE COST'!$B$3:$E$995,4))</f>
        <v>0</v>
      </c>
      <c r="F476" s="47" t="s">
        <v>479</v>
      </c>
      <c r="G476" s="43">
        <v>114020</v>
      </c>
      <c r="H476" s="47" t="s">
        <v>370</v>
      </c>
      <c r="I476" s="155"/>
      <c r="J476" s="155"/>
      <c r="K476" s="48">
        <v>0</v>
      </c>
      <c r="L476" s="48">
        <v>0</v>
      </c>
      <c r="M476" s="237">
        <v>0</v>
      </c>
      <c r="N476" s="237">
        <v>0</v>
      </c>
      <c r="O476" s="237">
        <v>0</v>
      </c>
      <c r="P476" s="237">
        <v>0</v>
      </c>
      <c r="Q476" s="237">
        <v>0</v>
      </c>
      <c r="R476" s="48">
        <f>+IF(R475=0,0,E476)</f>
        <v>0</v>
      </c>
      <c r="S476" s="48"/>
      <c r="T476" s="48">
        <f t="shared" si="172"/>
        <v>0</v>
      </c>
    </row>
    <row r="477" spans="1:20" ht="24.75" customHeight="1" x14ac:dyDescent="0.2">
      <c r="B477" s="43">
        <v>3</v>
      </c>
      <c r="C477" s="85">
        <v>11402003</v>
      </c>
      <c r="D477" s="47" t="str">
        <f>+IF(G477="","",VLOOKUP('AFE DETAILED'!C477,'AVERAGE COST'!$B:$D,3,0))</f>
        <v>GLOBAL</v>
      </c>
      <c r="E477" s="48">
        <f>+IF(C477="",0,VLOOKUP(C477,'AVERAGE COST'!$B$3:$E$995,4))</f>
        <v>0</v>
      </c>
      <c r="F477" s="47" t="s">
        <v>203</v>
      </c>
      <c r="G477" s="43">
        <v>114020</v>
      </c>
      <c r="H477" s="47" t="s">
        <v>370</v>
      </c>
      <c r="I477" s="155"/>
      <c r="J477" s="155"/>
      <c r="K477" s="48">
        <v>0</v>
      </c>
      <c r="L477" s="48">
        <v>0</v>
      </c>
      <c r="M477" s="237">
        <v>0</v>
      </c>
      <c r="N477" s="237">
        <v>0</v>
      </c>
      <c r="O477" s="237">
        <v>0</v>
      </c>
      <c r="P477" s="237">
        <v>0</v>
      </c>
      <c r="Q477" s="237">
        <v>0</v>
      </c>
      <c r="R477" s="48">
        <f>+IF(R475=0,0,E477)</f>
        <v>0</v>
      </c>
      <c r="S477" s="48"/>
      <c r="T477" s="48">
        <f t="shared" si="172"/>
        <v>0</v>
      </c>
    </row>
    <row r="478" spans="1:20" x14ac:dyDescent="0.2">
      <c r="B478" s="43">
        <v>4</v>
      </c>
      <c r="C478" s="85">
        <v>11402004</v>
      </c>
      <c r="D478" s="47" t="str">
        <f>+IF(G478="","",VLOOKUP('AFE DETAILED'!C478,'AVERAGE COST'!$B:$D,3,0))</f>
        <v>DAY</v>
      </c>
      <c r="E478" s="48">
        <f>+IF(C478="",0,VLOOKUP(C478,'AVERAGE COST'!$B$3:$E$995,4))</f>
        <v>0</v>
      </c>
      <c r="F478" s="47" t="s">
        <v>237</v>
      </c>
      <c r="G478" s="43">
        <v>114020</v>
      </c>
      <c r="H478" s="47" t="s">
        <v>370</v>
      </c>
      <c r="I478" s="155"/>
      <c r="J478" s="155"/>
      <c r="K478" s="48">
        <v>0</v>
      </c>
      <c r="L478" s="48">
        <v>0</v>
      </c>
      <c r="M478" s="237">
        <v>0</v>
      </c>
      <c r="N478" s="237">
        <v>0</v>
      </c>
      <c r="O478" s="237">
        <v>0</v>
      </c>
      <c r="P478" s="237">
        <v>0</v>
      </c>
      <c r="Q478" s="237">
        <v>0</v>
      </c>
      <c r="R478" s="48">
        <f>+IF(R475=0,0,E478*ROUNDUP(R9,0))</f>
        <v>0</v>
      </c>
      <c r="S478" s="48"/>
      <c r="T478" s="48">
        <f t="shared" si="172"/>
        <v>0</v>
      </c>
    </row>
    <row r="479" spans="1:20" s="27" customFormat="1" x14ac:dyDescent="0.2">
      <c r="A479" s="28"/>
      <c r="B479" s="66" t="s">
        <v>32</v>
      </c>
      <c r="C479" s="67"/>
      <c r="D479" s="68"/>
      <c r="E479" s="92" t="s">
        <v>373</v>
      </c>
      <c r="F479" s="106"/>
      <c r="G479" s="67"/>
      <c r="H479" s="68"/>
      <c r="I479" s="69"/>
      <c r="J479" s="69"/>
      <c r="K479" s="49">
        <f>SUM(K475:K478)</f>
        <v>0</v>
      </c>
      <c r="L479" s="49">
        <f t="shared" ref="L479:T479" si="173">SUM(L475:L478)</f>
        <v>0</v>
      </c>
      <c r="M479" s="238">
        <f t="shared" si="173"/>
        <v>0</v>
      </c>
      <c r="N479" s="238">
        <f t="shared" si="173"/>
        <v>0</v>
      </c>
      <c r="O479" s="238">
        <f t="shared" si="173"/>
        <v>0</v>
      </c>
      <c r="P479" s="238">
        <f t="shared" si="173"/>
        <v>0</v>
      </c>
      <c r="Q479" s="238">
        <f t="shared" si="173"/>
        <v>0</v>
      </c>
      <c r="R479" s="49">
        <f t="shared" si="173"/>
        <v>0</v>
      </c>
      <c r="S479" s="49"/>
      <c r="T479" s="49">
        <f t="shared" si="173"/>
        <v>0</v>
      </c>
    </row>
    <row r="480" spans="1:20" s="27" customFormat="1" x14ac:dyDescent="0.2">
      <c r="A480" s="28"/>
      <c r="B480" s="66" t="s">
        <v>372</v>
      </c>
      <c r="C480" s="67"/>
      <c r="D480" s="68"/>
      <c r="E480" s="92" t="s">
        <v>374</v>
      </c>
      <c r="F480" s="106"/>
      <c r="G480" s="67"/>
      <c r="H480" s="68"/>
      <c r="I480" s="69"/>
      <c r="J480" s="69"/>
      <c r="K480" s="70"/>
      <c r="L480" s="70"/>
      <c r="M480" s="242"/>
      <c r="N480" s="242"/>
      <c r="O480" s="242"/>
      <c r="P480" s="242"/>
      <c r="Q480" s="242"/>
      <c r="R480" s="70"/>
      <c r="S480" s="70"/>
      <c r="T480" s="71"/>
    </row>
    <row r="481" spans="2:20" x14ac:dyDescent="0.2">
      <c r="B481" s="43">
        <v>1</v>
      </c>
      <c r="C481" s="85">
        <v>11402101</v>
      </c>
      <c r="D481" s="47" t="str">
        <f>+IF(G481="","",VLOOKUP('AFE DETAILED'!C481,'AVERAGE COST'!$B:$D,3,0))</f>
        <v>DAY</v>
      </c>
      <c r="E481" s="48">
        <f>+IF(C481="",0,VLOOKUP(C481,'AVERAGE COST'!$B$3:$E$995,4))</f>
        <v>0</v>
      </c>
      <c r="F481" s="47" t="s">
        <v>375</v>
      </c>
      <c r="G481" s="43">
        <v>114021</v>
      </c>
      <c r="H481" s="47" t="s">
        <v>374</v>
      </c>
      <c r="I481" s="155"/>
      <c r="J481" s="155"/>
      <c r="K481" s="48">
        <v>0</v>
      </c>
      <c r="L481" s="48">
        <v>0</v>
      </c>
      <c r="M481" s="237">
        <v>0</v>
      </c>
      <c r="N481" s="237">
        <v>0</v>
      </c>
      <c r="O481" s="237">
        <v>0</v>
      </c>
      <c r="P481" s="237">
        <v>0</v>
      </c>
      <c r="Q481" s="237">
        <v>0</v>
      </c>
      <c r="R481" s="48">
        <f>+IF(R4="N/A",0,E481*ROUNDUP(R9,0))</f>
        <v>0</v>
      </c>
      <c r="S481" s="48"/>
      <c r="T481" s="48">
        <f t="shared" ref="T481:T499" si="174">SUM(K481:R481)</f>
        <v>0</v>
      </c>
    </row>
    <row r="482" spans="2:20" x14ac:dyDescent="0.2">
      <c r="B482" s="43">
        <v>2</v>
      </c>
      <c r="C482" s="85">
        <v>11402102</v>
      </c>
      <c r="D482" s="47" t="str">
        <f>+IF(G482="","",VLOOKUP('AFE DETAILED'!C482,'AVERAGE COST'!$B:$D,3,0))</f>
        <v>DAY</v>
      </c>
      <c r="E482" s="48">
        <f>+IF(C482="",0,VLOOKUP(C482,'AVERAGE COST'!$B$3:$E$995,4))</f>
        <v>0</v>
      </c>
      <c r="F482" s="47" t="s">
        <v>376</v>
      </c>
      <c r="G482" s="43">
        <v>114021</v>
      </c>
      <c r="H482" s="47" t="s">
        <v>374</v>
      </c>
      <c r="I482" s="155"/>
      <c r="J482" s="155"/>
      <c r="K482" s="48">
        <v>0</v>
      </c>
      <c r="L482" s="48">
        <v>0</v>
      </c>
      <c r="M482" s="237">
        <f>+IF(M4="n/a",0,IF('INITIAL DATA'!C93&lt;&gt;0,'INITIAL DATA'!C93*$E$482*ROUNDUP(M8+M9,0),0))</f>
        <v>0</v>
      </c>
      <c r="N482" s="237">
        <f>+IF(N4="n/a",0,IF('INITIAL DATA'!D93&lt;&gt;0,'INITIAL DATA'!D93*$E$482*ROUNDUP(N8+N9,0),0))</f>
        <v>0</v>
      </c>
      <c r="O482" s="237">
        <f>+IF(O4="n/a",0,IF('INITIAL DATA'!E93&lt;&gt;0,'INITIAL DATA'!E93*$E$482*ROUNDUP(O8+O9,0),0))</f>
        <v>0</v>
      </c>
      <c r="P482" s="237">
        <f>+IF(P4="n/a",0,IF('INITIAL DATA'!F93&lt;&gt;0,'INITIAL DATA'!F93*$E$482*ROUNDUP(P8+P9,0),0))</f>
        <v>0</v>
      </c>
      <c r="Q482" s="237">
        <f>+IF(Q4="n/a",0,IF('INITIAL DATA'!G93&lt;&gt;0,'INITIAL DATA'!G93*$E$482*ROUNDUP(Q8+Q9,0),0))</f>
        <v>0</v>
      </c>
      <c r="R482" s="237">
        <f>+IF(R4="n/a",0,IF('INITIAL DATA'!H93&lt;&gt;0,'INITIAL DATA'!H93*$E$482*ROUNDUP(R8+R9,0),0))</f>
        <v>0</v>
      </c>
      <c r="S482" s="48"/>
      <c r="T482" s="48">
        <f t="shared" si="174"/>
        <v>0</v>
      </c>
    </row>
    <row r="483" spans="2:20" x14ac:dyDescent="0.2">
      <c r="B483" s="43">
        <v>3</v>
      </c>
      <c r="C483" s="85">
        <v>11402103</v>
      </c>
      <c r="D483" s="47" t="str">
        <f>+IF(G483="","",VLOOKUP('AFE DETAILED'!C483,'AVERAGE COST'!$B:$D,3,0))</f>
        <v>FT/DAY</v>
      </c>
      <c r="E483" s="48">
        <f>+IF(C483="",0,VLOOKUP(C483,'AVERAGE COST'!$B$3:$E$995,4))</f>
        <v>0</v>
      </c>
      <c r="F483" s="47" t="s">
        <v>607</v>
      </c>
      <c r="G483" s="43">
        <v>114021</v>
      </c>
      <c r="H483" s="47" t="s">
        <v>374</v>
      </c>
      <c r="I483" s="155"/>
      <c r="J483" s="155"/>
      <c r="K483" s="48">
        <v>0</v>
      </c>
      <c r="L483" s="48">
        <v>0</v>
      </c>
      <c r="M483" s="237">
        <f>+IF(M4="N/A",0,IF('INITIAL DATA'!C94="yes",$E$483*M11*ROUNDUP(M8+M9,0),0))</f>
        <v>0</v>
      </c>
      <c r="N483" s="237">
        <f>+IF(N4="N/A",0,IF('INITIAL DATA'!D94="yes",$E$483*N11*ROUNDUP(N8+N9,0),0))</f>
        <v>0</v>
      </c>
      <c r="O483" s="237">
        <f>+IF(O4="N/A",0,IF('INITIAL DATA'!E94="yes",$E$483*O11*ROUNDUP(O8+O9,0),0))</f>
        <v>0</v>
      </c>
      <c r="P483" s="237">
        <f>+IF(P4="N/A",0,IF('INITIAL DATA'!F94="yes",$E$483*P11*ROUNDUP(P8+P9,0),0))</f>
        <v>0</v>
      </c>
      <c r="Q483" s="237">
        <f>+IF(Q4="N/A",0,IF('INITIAL DATA'!G94="yes",$E$483*Q11*ROUNDUP(Q8+Q9,0),0))</f>
        <v>0</v>
      </c>
      <c r="R483" s="48">
        <v>0</v>
      </c>
      <c r="S483" s="48"/>
      <c r="T483" s="48">
        <f t="shared" si="174"/>
        <v>0</v>
      </c>
    </row>
    <row r="484" spans="2:20" x14ac:dyDescent="0.2">
      <c r="B484" s="43">
        <v>4</v>
      </c>
      <c r="C484" s="85">
        <v>11402104</v>
      </c>
      <c r="D484" s="47" t="str">
        <f>+IF(G484="","",VLOOKUP('AFE DETAILED'!C484,'AVERAGE COST'!$B:$D,3,0))</f>
        <v>DAY</v>
      </c>
      <c r="E484" s="48">
        <f>+IF(C484="",0,VLOOKUP(C484,'AVERAGE COST'!$B$3:$E$995,4))</f>
        <v>0</v>
      </c>
      <c r="F484" s="47" t="s">
        <v>377</v>
      </c>
      <c r="G484" s="43">
        <v>114021</v>
      </c>
      <c r="H484" s="47" t="s">
        <v>374</v>
      </c>
      <c r="I484" s="155"/>
      <c r="J484" s="155"/>
      <c r="K484" s="48">
        <v>0</v>
      </c>
      <c r="L484" s="48">
        <v>0</v>
      </c>
      <c r="M484" s="237">
        <f>+IF(M4="n/a",0,$E$484*ROUNDUP(M8+M9,0))</f>
        <v>0</v>
      </c>
      <c r="N484" s="237">
        <f t="shared" ref="N484:Q484" si="175">+IF(N4="n/a",0,$E$484*ROUNDUP(N8+N9,0))</f>
        <v>0</v>
      </c>
      <c r="O484" s="237">
        <f t="shared" si="175"/>
        <v>0</v>
      </c>
      <c r="P484" s="237">
        <f t="shared" si="175"/>
        <v>0</v>
      </c>
      <c r="Q484" s="237">
        <f t="shared" si="175"/>
        <v>0</v>
      </c>
      <c r="R484" s="48">
        <v>0</v>
      </c>
      <c r="S484" s="48"/>
      <c r="T484" s="48">
        <f t="shared" si="174"/>
        <v>0</v>
      </c>
    </row>
    <row r="485" spans="2:20" x14ac:dyDescent="0.2">
      <c r="B485" s="43">
        <v>5</v>
      </c>
      <c r="C485" s="85">
        <v>11402105</v>
      </c>
      <c r="D485" s="47" t="str">
        <f>+IF(G485="","",VLOOKUP('AFE DETAILED'!C485,'AVERAGE COST'!$B:$D,3,0))</f>
        <v>UNIT</v>
      </c>
      <c r="E485" s="48">
        <f>+IF(C485="",0,VLOOKUP(C485,'AVERAGE COST'!$B$3:$E$995,4))</f>
        <v>0</v>
      </c>
      <c r="F485" s="47" t="s">
        <v>96</v>
      </c>
      <c r="G485" s="43">
        <v>114021</v>
      </c>
      <c r="H485" s="47" t="s">
        <v>374</v>
      </c>
      <c r="I485" s="155"/>
      <c r="J485" s="155"/>
      <c r="K485" s="48">
        <v>0</v>
      </c>
      <c r="L485" s="48">
        <v>0</v>
      </c>
      <c r="M485" s="237">
        <v>0</v>
      </c>
      <c r="N485" s="237">
        <v>0</v>
      </c>
      <c r="O485" s="237">
        <v>0</v>
      </c>
      <c r="P485" s="237">
        <v>0</v>
      </c>
      <c r="Q485" s="237">
        <v>0</v>
      </c>
      <c r="R485" s="48">
        <v>0</v>
      </c>
      <c r="S485" s="48"/>
      <c r="T485" s="48">
        <f t="shared" si="174"/>
        <v>0</v>
      </c>
    </row>
    <row r="486" spans="2:20" x14ac:dyDescent="0.2">
      <c r="B486" s="43">
        <v>6</v>
      </c>
      <c r="C486" s="85">
        <v>11402106</v>
      </c>
      <c r="D486" s="47" t="str">
        <f>+IF(G486="","",VLOOKUP('AFE DETAILED'!C486,'AVERAGE COST'!$B:$D,3,0))</f>
        <v>UNIT</v>
      </c>
      <c r="E486" s="48">
        <f>+IF(C486="",0,VLOOKUP(C486,'AVERAGE COST'!$B$3:$E$995,4))</f>
        <v>0</v>
      </c>
      <c r="F486" s="47" t="s">
        <v>378</v>
      </c>
      <c r="G486" s="43">
        <v>114021</v>
      </c>
      <c r="H486" s="47" t="s">
        <v>374</v>
      </c>
      <c r="I486" s="155"/>
      <c r="J486" s="155"/>
      <c r="K486" s="48">
        <v>0</v>
      </c>
      <c r="L486" s="48">
        <v>0</v>
      </c>
      <c r="M486" s="237">
        <f>+IF(M4="n/a",0,IF('INITIAL DATA'!C95&lt;&gt;0,'INITIAL DATA'!C95*$E$486,0))</f>
        <v>0</v>
      </c>
      <c r="N486" s="237">
        <f>+IF(N4="n/a",0,IF('INITIAL DATA'!D95&lt;&gt;0,'INITIAL DATA'!D95*$E$486,0))</f>
        <v>0</v>
      </c>
      <c r="O486" s="237">
        <f>+IF(O4="n/a",0,IF('INITIAL DATA'!E95&lt;&gt;0,'INITIAL DATA'!E95*$E$486,0))</f>
        <v>0</v>
      </c>
      <c r="P486" s="237">
        <f>+IF(P4="n/a",0,IF('INITIAL DATA'!F95&lt;&gt;0,'INITIAL DATA'!F95*$E$486,0))</f>
        <v>0</v>
      </c>
      <c r="Q486" s="237">
        <f>+IF(Q4="n/a",0,IF('INITIAL DATA'!G95&lt;&gt;0,'INITIAL DATA'!G95*$E$486,0))</f>
        <v>0</v>
      </c>
      <c r="R486" s="237">
        <f>+IF(R4="n/a",0,IF('INITIAL DATA'!H95&lt;&gt;0,'INITIAL DATA'!H95*$E$486,0))</f>
        <v>0</v>
      </c>
      <c r="S486" s="48"/>
      <c r="T486" s="48">
        <f t="shared" si="174"/>
        <v>0</v>
      </c>
    </row>
    <row r="487" spans="2:20" x14ac:dyDescent="0.2">
      <c r="B487" s="43">
        <v>7</v>
      </c>
      <c r="C487" s="85">
        <v>11402107</v>
      </c>
      <c r="D487" s="47" t="str">
        <f>+IF(G487="","",VLOOKUP('AFE DETAILED'!C487,'AVERAGE COST'!$B:$D,3,0))</f>
        <v>DAY</v>
      </c>
      <c r="E487" s="48">
        <f>+IF(C487="",0,VLOOKUP(C487,'AVERAGE COST'!$B$3:$E$995,4))</f>
        <v>0</v>
      </c>
      <c r="F487" s="47" t="s">
        <v>379</v>
      </c>
      <c r="G487" s="43">
        <v>114021</v>
      </c>
      <c r="H487" s="47" t="s">
        <v>374</v>
      </c>
      <c r="I487" s="155"/>
      <c r="J487" s="155"/>
      <c r="K487" s="48">
        <v>0</v>
      </c>
      <c r="L487" s="48">
        <v>0</v>
      </c>
      <c r="M487" s="237">
        <f>+IF(M4="n/a",0,IF('INITIAL DATA'!C96&lt;&gt;0,'INITIAL DATA'!C96*$E$487*ROUNDUP(M8,0),0))</f>
        <v>0</v>
      </c>
      <c r="N487" s="237">
        <f>+IF(N4="n/a",0,IF('INITIAL DATA'!D96&lt;&gt;0,'INITIAL DATA'!D96*$E$487*ROUNDUP(N8,0),0))</f>
        <v>0</v>
      </c>
      <c r="O487" s="237">
        <f>+IF(O4="n/a",0,IF('INITIAL DATA'!E96&lt;&gt;0,'INITIAL DATA'!E96*$E$487*ROUNDUP(O8,0),0))</f>
        <v>0</v>
      </c>
      <c r="P487" s="237">
        <f>+IF(P4="n/a",0,IF('INITIAL DATA'!F96&lt;&gt;0,'INITIAL DATA'!F96*$E$487*ROUNDUP(P8,0),0))</f>
        <v>0</v>
      </c>
      <c r="Q487" s="237">
        <f>+IF(Q4="n/a",0,IF('INITIAL DATA'!G96&lt;&gt;0,'INITIAL DATA'!G96*$E$487*ROUNDUP(Q8,0),0))</f>
        <v>0</v>
      </c>
      <c r="R487" s="237">
        <v>0</v>
      </c>
      <c r="S487" s="48"/>
      <c r="T487" s="48">
        <f t="shared" si="174"/>
        <v>0</v>
      </c>
    </row>
    <row r="488" spans="2:20" x14ac:dyDescent="0.2">
      <c r="B488" s="43">
        <v>8</v>
      </c>
      <c r="C488" s="85">
        <v>11402108</v>
      </c>
      <c r="D488" s="47" t="str">
        <f>+IF(G488="","",VLOOKUP('AFE DETAILED'!C488,'AVERAGE COST'!$B:$D,3,0))</f>
        <v>GLOBAL</v>
      </c>
      <c r="E488" s="48">
        <f>+IF(C488="",0,VLOOKUP(C488,'AVERAGE COST'!$B$3:$E$995,4))</f>
        <v>0</v>
      </c>
      <c r="F488" s="47" t="s">
        <v>380</v>
      </c>
      <c r="G488" s="43">
        <v>114021</v>
      </c>
      <c r="H488" s="47" t="s">
        <v>374</v>
      </c>
      <c r="I488" s="155"/>
      <c r="J488" s="155"/>
      <c r="K488" s="48">
        <v>0</v>
      </c>
      <c r="L488" s="48">
        <v>0</v>
      </c>
      <c r="M488" s="237">
        <f>+IF(OR(M481&lt;&gt;0,M482,M483&lt;&gt;0,M484&lt;&gt;0,M485&lt;&gt;0,M487&lt;&gt;0),$E$488,0)</f>
        <v>0</v>
      </c>
      <c r="N488" s="237">
        <f t="shared" ref="N488:S488" si="176">+IF(OR(N481&lt;&gt;0,N482,N483&lt;&gt;0,N484&lt;&gt;0,N485&lt;&gt;0,N487&lt;&gt;0),$E$488,0)</f>
        <v>0</v>
      </c>
      <c r="O488" s="237">
        <f t="shared" si="176"/>
        <v>0</v>
      </c>
      <c r="P488" s="237">
        <f t="shared" si="176"/>
        <v>0</v>
      </c>
      <c r="Q488" s="237">
        <f t="shared" si="176"/>
        <v>0</v>
      </c>
      <c r="R488" s="237">
        <f t="shared" si="176"/>
        <v>0</v>
      </c>
      <c r="S488" s="237">
        <f t="shared" si="176"/>
        <v>0</v>
      </c>
      <c r="T488" s="48">
        <f t="shared" si="174"/>
        <v>0</v>
      </c>
    </row>
    <row r="489" spans="2:20" ht="24.75" customHeight="1" x14ac:dyDescent="0.2">
      <c r="B489" s="43">
        <v>9</v>
      </c>
      <c r="C489" s="85">
        <v>11402109</v>
      </c>
      <c r="D489" s="47" t="str">
        <f>+IF(G489="","",VLOOKUP('AFE DETAILED'!C489,'AVERAGE COST'!$B:$D,3,0))</f>
        <v>GLOBAL</v>
      </c>
      <c r="E489" s="48">
        <f>+IF(C489="",0,VLOOKUP(C489,'AVERAGE COST'!$B$3:$E$995,4))</f>
        <v>0</v>
      </c>
      <c r="F489" s="47" t="s">
        <v>203</v>
      </c>
      <c r="G489" s="43">
        <v>114021</v>
      </c>
      <c r="H489" s="47" t="s">
        <v>374</v>
      </c>
      <c r="I489" s="155"/>
      <c r="J489" s="155"/>
      <c r="K489" s="48">
        <v>0</v>
      </c>
      <c r="L489" s="48">
        <v>0</v>
      </c>
      <c r="M489" s="237">
        <f>+IF(M488=0,0,E489)</f>
        <v>0</v>
      </c>
      <c r="N489" s="237">
        <f>+IF(N488=0,0,IF(AND(M489=0),$E$489,0))</f>
        <v>0</v>
      </c>
      <c r="O489" s="237">
        <f>+IF(O488=0,0,IF(AND(N489=0,M489=0),$E$489,0))</f>
        <v>0</v>
      </c>
      <c r="P489" s="237">
        <f>+IF(P488=0,0,IF(AND(O489=0,M489=0,N489=0),$E$489,0))</f>
        <v>0</v>
      </c>
      <c r="Q489" s="237">
        <f>+IF(Q488=0,0,IF(AND(P489=0,O489=0,M489=0,N489=0),$E$489,0))</f>
        <v>0</v>
      </c>
      <c r="R489" s="237">
        <f>+IF(R488=0,0,IF(AND(Q489=0,P489=0,N489=0,O489=0,M489=0),$E$489,0))</f>
        <v>0</v>
      </c>
      <c r="S489" s="48"/>
      <c r="T489" s="48">
        <f t="shared" si="174"/>
        <v>0</v>
      </c>
    </row>
    <row r="490" spans="2:20" x14ac:dyDescent="0.2">
      <c r="B490" s="43">
        <v>10</v>
      </c>
      <c r="C490" s="85">
        <v>11402110</v>
      </c>
      <c r="D490" s="47" t="str">
        <f>+IF(G490="","",VLOOKUP('AFE DETAILED'!C490,'AVERAGE COST'!$B:$D,3,0))</f>
        <v>DAY</v>
      </c>
      <c r="E490" s="48">
        <f>+IF(C490="",0,VLOOKUP(C490,'AVERAGE COST'!$B$3:$E$995,4))</f>
        <v>0</v>
      </c>
      <c r="F490" s="47" t="s">
        <v>237</v>
      </c>
      <c r="G490" s="43">
        <v>114021</v>
      </c>
      <c r="H490" s="47" t="s">
        <v>374</v>
      </c>
      <c r="I490" s="155"/>
      <c r="J490" s="155"/>
      <c r="K490" s="48">
        <v>0</v>
      </c>
      <c r="L490" s="48">
        <v>0</v>
      </c>
      <c r="M490" s="237">
        <f>+IF(OR(M481&lt;&gt;0,M482,M483&lt;&gt;0,M484&lt;&gt;0,M485&lt;&gt;0,M487&lt;&gt;0),$E$490*ROUNDUP(M8+M9,0),0)</f>
        <v>0</v>
      </c>
      <c r="N490" s="237">
        <f t="shared" ref="N490:S490" si="177">+IF(OR(N481&lt;&gt;0,N482,N483&lt;&gt;0,N484&lt;&gt;0,N485&lt;&gt;0,N487&lt;&gt;0),$E$490*ROUNDUP(N8+N9,0),0)</f>
        <v>0</v>
      </c>
      <c r="O490" s="237">
        <f t="shared" si="177"/>
        <v>0</v>
      </c>
      <c r="P490" s="237">
        <f t="shared" si="177"/>
        <v>0</v>
      </c>
      <c r="Q490" s="237">
        <f t="shared" si="177"/>
        <v>0</v>
      </c>
      <c r="R490" s="237">
        <f t="shared" si="177"/>
        <v>0</v>
      </c>
      <c r="S490" s="237">
        <f t="shared" si="177"/>
        <v>0</v>
      </c>
      <c r="T490" s="48">
        <f t="shared" si="174"/>
        <v>0</v>
      </c>
    </row>
    <row r="491" spans="2:20" x14ac:dyDescent="0.2">
      <c r="B491" s="43">
        <v>11</v>
      </c>
      <c r="C491" s="85">
        <v>11402111</v>
      </c>
      <c r="D491" s="47" t="str">
        <f>+IF(G491="","",VLOOKUP('AFE DETAILED'!C491,'AVERAGE COST'!$B:$D,3,0))</f>
        <v>DAY</v>
      </c>
      <c r="E491" s="48">
        <f>+IF(C491="",0,VLOOKUP(C491,'AVERAGE COST'!$B$3:$E$995,4))</f>
        <v>0</v>
      </c>
      <c r="F491" s="47" t="s">
        <v>381</v>
      </c>
      <c r="G491" s="43">
        <v>114021</v>
      </c>
      <c r="H491" s="47" t="s">
        <v>374</v>
      </c>
      <c r="I491" s="155"/>
      <c r="J491" s="155"/>
      <c r="K491" s="48">
        <v>0</v>
      </c>
      <c r="L491" s="48">
        <v>0</v>
      </c>
      <c r="M491" s="237">
        <f>+IF(M4="n/a",0,IF('INITIAL DATA'!C97&lt;&gt;0,'INITIAL DATA'!C97*$E$491*ROUNDUP(M8,0),0))</f>
        <v>0</v>
      </c>
      <c r="N491" s="237">
        <f>+IF(N4="n/a",0,IF('INITIAL DATA'!D97&lt;&gt;0,'INITIAL DATA'!D97*$E$491*ROUNDUP(N8,0),0))</f>
        <v>0</v>
      </c>
      <c r="O491" s="237">
        <f>+IF(O4="n/a",0,IF('INITIAL DATA'!E97&lt;&gt;0,'INITIAL DATA'!E97*$E$491*ROUNDUP(O8,0),0))</f>
        <v>0</v>
      </c>
      <c r="P491" s="237">
        <f>+IF(P4="n/a",0,IF('INITIAL DATA'!F97&lt;&gt;0,'INITIAL DATA'!F97*$E$491*ROUNDUP(P8,0),0))</f>
        <v>0</v>
      </c>
      <c r="Q491" s="237">
        <f>+IF(Q4="n/a",0,IF('INITIAL DATA'!G97&lt;&gt;0,'INITIAL DATA'!G97*$E$491*ROUNDUP(Q8,0),0))</f>
        <v>0</v>
      </c>
      <c r="R491" s="48">
        <v>0</v>
      </c>
      <c r="S491" s="48"/>
      <c r="T491" s="48">
        <f t="shared" si="174"/>
        <v>0</v>
      </c>
    </row>
    <row r="492" spans="2:20" x14ac:dyDescent="0.2">
      <c r="B492" s="43">
        <v>12</v>
      </c>
      <c r="C492" s="85">
        <v>11402112</v>
      </c>
      <c r="D492" s="47" t="str">
        <f>+IF(G492="","",VLOOKUP('AFE DETAILED'!C492,'AVERAGE COST'!$B:$D,3,0))</f>
        <v>DAY</v>
      </c>
      <c r="E492" s="48">
        <f>+IF(C492="",0,VLOOKUP(C492,'AVERAGE COST'!$B$3:$E$995,4))</f>
        <v>0</v>
      </c>
      <c r="F492" s="47" t="s">
        <v>382</v>
      </c>
      <c r="G492" s="43">
        <v>114021</v>
      </c>
      <c r="H492" s="47" t="s">
        <v>374</v>
      </c>
      <c r="I492" s="155"/>
      <c r="J492" s="155"/>
      <c r="K492" s="48">
        <v>0</v>
      </c>
      <c r="L492" s="48">
        <v>0</v>
      </c>
      <c r="M492" s="237">
        <v>0</v>
      </c>
      <c r="N492" s="237">
        <v>0</v>
      </c>
      <c r="O492" s="237">
        <v>0</v>
      </c>
      <c r="P492" s="237">
        <v>0</v>
      </c>
      <c r="Q492" s="237">
        <v>0</v>
      </c>
      <c r="R492" s="48">
        <f>+IF(R4="n/a",0,IF('INITIAL DATA'!H98="yes",$E$492*ROUNDUP(R9,0),0))</f>
        <v>0</v>
      </c>
      <c r="S492" s="48"/>
      <c r="T492" s="48">
        <f t="shared" si="174"/>
        <v>0</v>
      </c>
    </row>
    <row r="493" spans="2:20" x14ac:dyDescent="0.2">
      <c r="B493" s="43">
        <v>13</v>
      </c>
      <c r="C493" s="85">
        <v>11402113</v>
      </c>
      <c r="D493" s="47" t="str">
        <f>+IF(G493="","",VLOOKUP('AFE DETAILED'!C493,'AVERAGE COST'!$B:$D,3,0))</f>
        <v>DAY</v>
      </c>
      <c r="E493" s="48">
        <f>+IF(C493="",0,VLOOKUP(C493,'AVERAGE COST'!$B$3:$E$995,4))</f>
        <v>0</v>
      </c>
      <c r="F493" s="47" t="s">
        <v>383</v>
      </c>
      <c r="G493" s="43">
        <v>114021</v>
      </c>
      <c r="H493" s="47" t="s">
        <v>374</v>
      </c>
      <c r="I493" s="155"/>
      <c r="J493" s="155"/>
      <c r="K493" s="48">
        <v>0</v>
      </c>
      <c r="L493" s="48">
        <v>0</v>
      </c>
      <c r="M493" s="237">
        <v>0</v>
      </c>
      <c r="N493" s="237">
        <v>0</v>
      </c>
      <c r="O493" s="237">
        <v>0</v>
      </c>
      <c r="P493" s="237">
        <v>0</v>
      </c>
      <c r="Q493" s="237">
        <v>0</v>
      </c>
      <c r="R493" s="48">
        <f>+IF(R492=0,0,E493*ROUNDUP(R9,0))</f>
        <v>0</v>
      </c>
      <c r="S493" s="48"/>
      <c r="T493" s="48">
        <f t="shared" si="174"/>
        <v>0</v>
      </c>
    </row>
    <row r="494" spans="2:20" x14ac:dyDescent="0.2">
      <c r="B494" s="43">
        <v>14</v>
      </c>
      <c r="C494" s="85">
        <v>11402114</v>
      </c>
      <c r="D494" s="47" t="str">
        <f>+IF(G494="","",VLOOKUP('AFE DETAILED'!C494,'AVERAGE COST'!$B:$D,3,0))</f>
        <v>DAY</v>
      </c>
      <c r="E494" s="48">
        <f>+IF(C494="",0,VLOOKUP(C494,'AVERAGE COST'!$B$3:$E$995,4))</f>
        <v>0</v>
      </c>
      <c r="F494" s="47" t="s">
        <v>384</v>
      </c>
      <c r="G494" s="43">
        <v>114021</v>
      </c>
      <c r="H494" s="47" t="s">
        <v>374</v>
      </c>
      <c r="I494" s="155"/>
      <c r="J494" s="155"/>
      <c r="K494" s="48">
        <v>0</v>
      </c>
      <c r="L494" s="48">
        <v>0</v>
      </c>
      <c r="M494" s="237">
        <f>+IF(M490=0,0,IF('INITIAL DATA'!C99&lt;&gt;0,$E$494*ROUNDUP(M8+M9,0)*'INITIAL DATA'!C99,0))</f>
        <v>0</v>
      </c>
      <c r="N494" s="237">
        <f>+IF(N490=0,0,IF('INITIAL DATA'!D99&lt;&gt;0,$E$494*ROUNDUP(N8+N9,0)*'INITIAL DATA'!D99,0))</f>
        <v>0</v>
      </c>
      <c r="O494" s="237">
        <f>+IF(O490=0,0,IF('INITIAL DATA'!E99&lt;&gt;0,$E$494*ROUNDUP(O8+O9,0)*'INITIAL DATA'!E99,0))</f>
        <v>0</v>
      </c>
      <c r="P494" s="237">
        <f>+IF(P490=0,0,IF('INITIAL DATA'!F99&lt;&gt;0,$E$494*ROUNDUP(P8+P9,0)*'INITIAL DATA'!F99,0))</f>
        <v>0</v>
      </c>
      <c r="Q494" s="237">
        <f>+IF(Q490=0,0,IF('INITIAL DATA'!G99&lt;&gt;0,$E$494*ROUNDUP(Q8+Q9,0)*'INITIAL DATA'!G99,0))</f>
        <v>0</v>
      </c>
      <c r="R494" s="48">
        <v>0</v>
      </c>
      <c r="S494" s="48"/>
      <c r="T494" s="48">
        <f t="shared" si="174"/>
        <v>0</v>
      </c>
    </row>
    <row r="495" spans="2:20" x14ac:dyDescent="0.2">
      <c r="B495" s="43">
        <v>15</v>
      </c>
      <c r="C495" s="85">
        <v>11402115</v>
      </c>
      <c r="D495" s="47" t="str">
        <f>+IF(G495="","",VLOOKUP('AFE DETAILED'!C495,'AVERAGE COST'!$B:$D,3,0))</f>
        <v>DAY</v>
      </c>
      <c r="E495" s="48">
        <f>+IF(C495="",0,VLOOKUP(C495,'AVERAGE COST'!$B$3:$E$995,4))</f>
        <v>0</v>
      </c>
      <c r="F495" s="47" t="s">
        <v>385</v>
      </c>
      <c r="G495" s="43">
        <v>114021</v>
      </c>
      <c r="H495" s="47" t="s">
        <v>374</v>
      </c>
      <c r="I495" s="155"/>
      <c r="J495" s="155"/>
      <c r="K495" s="48">
        <v>0</v>
      </c>
      <c r="L495" s="48">
        <v>0</v>
      </c>
      <c r="M495" s="237">
        <f>+IF(M4="SURFACE",$E$495*ROUNDUP(M8+M9,0),0)</f>
        <v>0</v>
      </c>
      <c r="N495" s="237">
        <f t="shared" ref="N495:R495" si="178">+IF(N4="SURFACE",$E$495*ROUNDUP(N8+N9,0),0)</f>
        <v>0</v>
      </c>
      <c r="O495" s="237">
        <f t="shared" si="178"/>
        <v>0</v>
      </c>
      <c r="P495" s="237">
        <f t="shared" si="178"/>
        <v>0</v>
      </c>
      <c r="Q495" s="237">
        <f t="shared" si="178"/>
        <v>0</v>
      </c>
      <c r="R495" s="237">
        <f t="shared" si="178"/>
        <v>0</v>
      </c>
      <c r="S495" s="48"/>
      <c r="T495" s="48">
        <f t="shared" si="174"/>
        <v>0</v>
      </c>
    </row>
    <row r="496" spans="2:20" x14ac:dyDescent="0.2">
      <c r="B496" s="43">
        <v>16</v>
      </c>
      <c r="C496" s="85">
        <v>11402116</v>
      </c>
      <c r="D496" s="47" t="str">
        <f>+IF(G496="","",VLOOKUP('AFE DETAILED'!C496,'AVERAGE COST'!$B:$D,3,0))</f>
        <v>FT/DAY</v>
      </c>
      <c r="E496" s="48">
        <f>+IF(C496="",0,VLOOKUP(C496,'AVERAGE COST'!$B$3:$E$995,4))</f>
        <v>0</v>
      </c>
      <c r="F496" s="47" t="s">
        <v>386</v>
      </c>
      <c r="G496" s="43">
        <v>114021</v>
      </c>
      <c r="H496" s="47" t="s">
        <v>374</v>
      </c>
      <c r="I496" s="155"/>
      <c r="J496" s="155"/>
      <c r="K496" s="48">
        <v>0</v>
      </c>
      <c r="L496" s="48">
        <v>0</v>
      </c>
      <c r="M496" s="237">
        <v>0</v>
      </c>
      <c r="N496" s="237">
        <v>0</v>
      </c>
      <c r="O496" s="237">
        <v>0</v>
      </c>
      <c r="P496" s="237">
        <v>0</v>
      </c>
      <c r="Q496" s="237">
        <v>0</v>
      </c>
      <c r="R496" s="48">
        <f>+IF(R4="n/a",0,IF('INITIAL DATA'!H100="YES",E496*R11*ROUNDUP(R9,0),0))</f>
        <v>0</v>
      </c>
      <c r="S496" s="48"/>
      <c r="T496" s="48">
        <f t="shared" si="174"/>
        <v>0</v>
      </c>
    </row>
    <row r="497" spans="1:20" x14ac:dyDescent="0.2">
      <c r="B497" s="43">
        <v>17</v>
      </c>
      <c r="C497" s="85">
        <v>11402117</v>
      </c>
      <c r="D497" s="47" t="str">
        <f>+IF(G497="","",VLOOKUP('AFE DETAILED'!C497,'AVERAGE COST'!$B:$D,3,0))</f>
        <v>DAY</v>
      </c>
      <c r="E497" s="48">
        <f>+IF(C497="",0,VLOOKUP(C497,'AVERAGE COST'!$B$3:$E$995,4))</f>
        <v>0</v>
      </c>
      <c r="F497" s="47" t="s">
        <v>387</v>
      </c>
      <c r="G497" s="43">
        <v>114021</v>
      </c>
      <c r="H497" s="47" t="s">
        <v>374</v>
      </c>
      <c r="I497" s="155"/>
      <c r="J497" s="155"/>
      <c r="K497" s="48">
        <v>0</v>
      </c>
      <c r="L497" s="48">
        <v>0</v>
      </c>
      <c r="M497" s="237">
        <v>0</v>
      </c>
      <c r="N497" s="237">
        <v>0</v>
      </c>
      <c r="O497" s="237">
        <v>0</v>
      </c>
      <c r="P497" s="237">
        <v>0</v>
      </c>
      <c r="Q497" s="237">
        <v>0</v>
      </c>
      <c r="R497" s="48">
        <f>+IF(R4="n/a",0,IF('INITIAL DATA'!H101="YES",E497*ROUNDUP(R9,0),0))</f>
        <v>0</v>
      </c>
      <c r="S497" s="48"/>
      <c r="T497" s="48">
        <f t="shared" si="174"/>
        <v>0</v>
      </c>
    </row>
    <row r="498" spans="1:20" x14ac:dyDescent="0.2">
      <c r="B498" s="43">
        <v>18</v>
      </c>
      <c r="C498" s="85">
        <v>11402118</v>
      </c>
      <c r="D498" s="47" t="str">
        <f>+IF(G498="","",VLOOKUP('AFE DETAILED'!C498,'AVERAGE COST'!$B:$D,3,0))</f>
        <v>UNIT</v>
      </c>
      <c r="E498" s="48">
        <f>+IF(C498="",0,VLOOKUP(C498,'AVERAGE COST'!$B$3:$E$995,4))</f>
        <v>0</v>
      </c>
      <c r="F498" s="47" t="s">
        <v>388</v>
      </c>
      <c r="G498" s="43">
        <v>114021</v>
      </c>
      <c r="H498" s="47" t="s">
        <v>374</v>
      </c>
      <c r="I498" s="155"/>
      <c r="J498" s="155"/>
      <c r="K498" s="48">
        <v>0</v>
      </c>
      <c r="L498" s="48">
        <v>0</v>
      </c>
      <c r="M498" s="237">
        <f>+IF(M490=0,0,IF('INITIAL DATA'!C102&lt;&gt;0,$E$498*'INITIAL DATA'!C102,0))</f>
        <v>0</v>
      </c>
      <c r="N498" s="237">
        <f>+IF(N490=0,0,IF('INITIAL DATA'!D102&lt;&gt;0,$E$498*'INITIAL DATA'!D102,0))</f>
        <v>0</v>
      </c>
      <c r="O498" s="237">
        <f>+IF(O490=0,0,IF('INITIAL DATA'!E102&lt;&gt;0,$E$498*'INITIAL DATA'!E102,0))</f>
        <v>0</v>
      </c>
      <c r="P498" s="237">
        <f>+IF(P490=0,0,IF('INITIAL DATA'!F102&lt;&gt;0,$E$498*'INITIAL DATA'!F102,0))</f>
        <v>0</v>
      </c>
      <c r="Q498" s="237">
        <f>+IF(Q490=0,0,IF('INITIAL DATA'!G102&lt;&gt;0,$E$498*'INITIAL DATA'!G102,0))</f>
        <v>0</v>
      </c>
      <c r="R498" s="48">
        <v>0</v>
      </c>
      <c r="S498" s="48"/>
      <c r="T498" s="48">
        <f t="shared" si="174"/>
        <v>0</v>
      </c>
    </row>
    <row r="499" spans="1:20" x14ac:dyDescent="0.2">
      <c r="B499" s="43">
        <v>19</v>
      </c>
      <c r="C499" s="85">
        <v>11402119</v>
      </c>
      <c r="D499" s="47" t="str">
        <f>+IF(G499="","",VLOOKUP('AFE DETAILED'!C499,'AVERAGE COST'!$B:$D,3,0))</f>
        <v>DAY</v>
      </c>
      <c r="E499" s="48">
        <f>+IF(C499="",0,VLOOKUP(C499,'AVERAGE COST'!$B$3:$E$995,4))</f>
        <v>0</v>
      </c>
      <c r="F499" s="47" t="s">
        <v>389</v>
      </c>
      <c r="G499" s="43">
        <v>114021</v>
      </c>
      <c r="H499" s="47" t="s">
        <v>374</v>
      </c>
      <c r="I499" s="155"/>
      <c r="J499" s="155"/>
      <c r="K499" s="48">
        <v>0</v>
      </c>
      <c r="L499" s="48">
        <v>0</v>
      </c>
      <c r="M499" s="237">
        <f>+IF(M490=0,0,IF('INITIAL DATA'!C103&lt;&gt;0,$E$499*ROUNDUP(M8+M9,0)*'INITIAL DATA'!C103,0))</f>
        <v>0</v>
      </c>
      <c r="N499" s="237">
        <f>+IF(N490=0,0,IF('INITIAL DATA'!D103&lt;&gt;0,$E$499*ROUNDUP(N8+N9,0)*'INITIAL DATA'!D103,0))</f>
        <v>0</v>
      </c>
      <c r="O499" s="237">
        <f>+IF(O490=0,0,IF('INITIAL DATA'!E103&lt;&gt;0,$E$499*ROUNDUP(O8+O9,0)*'INITIAL DATA'!E103,0))</f>
        <v>0</v>
      </c>
      <c r="P499" s="237">
        <f>+IF(P490=0,0,IF('INITIAL DATA'!F103&lt;&gt;0,$E$499*ROUNDUP(P8+P9,0)*'INITIAL DATA'!F103,0))</f>
        <v>0</v>
      </c>
      <c r="Q499" s="237">
        <f>+IF(Q490=0,0,IF('INITIAL DATA'!G103&lt;&gt;0,$E$499*ROUNDUP(Q8+Q9,0)*'INITIAL DATA'!G103,0))</f>
        <v>0</v>
      </c>
      <c r="R499" s="48">
        <v>0</v>
      </c>
      <c r="S499" s="48"/>
      <c r="T499" s="48">
        <f t="shared" si="174"/>
        <v>0</v>
      </c>
    </row>
    <row r="500" spans="1:20" s="27" customFormat="1" x14ac:dyDescent="0.2">
      <c r="A500" s="28"/>
      <c r="B500" s="66" t="s">
        <v>32</v>
      </c>
      <c r="C500" s="67"/>
      <c r="D500" s="68"/>
      <c r="E500" s="92" t="s">
        <v>391</v>
      </c>
      <c r="F500" s="106"/>
      <c r="G500" s="67"/>
      <c r="H500" s="68"/>
      <c r="I500" s="69"/>
      <c r="J500" s="69"/>
      <c r="K500" s="49">
        <f>SUM(K481:K499)</f>
        <v>0</v>
      </c>
      <c r="L500" s="49">
        <f t="shared" ref="L500:T500" si="179">SUM(L481:L499)</f>
        <v>0</v>
      </c>
      <c r="M500" s="238">
        <f t="shared" si="179"/>
        <v>0</v>
      </c>
      <c r="N500" s="238">
        <f t="shared" si="179"/>
        <v>0</v>
      </c>
      <c r="O500" s="238">
        <f t="shared" si="179"/>
        <v>0</v>
      </c>
      <c r="P500" s="238">
        <f t="shared" si="179"/>
        <v>0</v>
      </c>
      <c r="Q500" s="238">
        <f t="shared" si="179"/>
        <v>0</v>
      </c>
      <c r="R500" s="49">
        <f t="shared" si="179"/>
        <v>0</v>
      </c>
      <c r="S500" s="49"/>
      <c r="T500" s="49">
        <f t="shared" si="179"/>
        <v>0</v>
      </c>
    </row>
    <row r="501" spans="1:20" s="27" customFormat="1" x14ac:dyDescent="0.2">
      <c r="A501" s="28"/>
      <c r="B501" s="66" t="s">
        <v>390</v>
      </c>
      <c r="C501" s="67"/>
      <c r="D501" s="68"/>
      <c r="E501" s="92" t="s">
        <v>575</v>
      </c>
      <c r="F501" s="106"/>
      <c r="G501" s="67"/>
      <c r="H501" s="68"/>
      <c r="I501" s="69"/>
      <c r="J501" s="69"/>
      <c r="K501" s="70"/>
      <c r="L501" s="70"/>
      <c r="M501" s="242"/>
      <c r="N501" s="242"/>
      <c r="O501" s="242"/>
      <c r="P501" s="242"/>
      <c r="Q501" s="242"/>
      <c r="R501" s="70"/>
      <c r="S501" s="70"/>
      <c r="T501" s="71"/>
    </row>
    <row r="502" spans="1:20" x14ac:dyDescent="0.2">
      <c r="B502" s="43">
        <v>1</v>
      </c>
      <c r="C502" s="85">
        <v>11402201</v>
      </c>
      <c r="D502" s="47" t="str">
        <f>+IF(G502="","",VLOOKUP('AFE DETAILED'!C502,'AVERAGE COST'!$B:$D,3,0))</f>
        <v>GLOBAL</v>
      </c>
      <c r="E502" s="48">
        <f>+IF(C502="",0,VLOOKUP(C502,'AVERAGE COST'!$B$3:$E$995,4))</f>
        <v>0</v>
      </c>
      <c r="F502" s="47" t="s">
        <v>393</v>
      </c>
      <c r="G502" s="43">
        <v>114022</v>
      </c>
      <c r="H502" s="47" t="s">
        <v>395</v>
      </c>
      <c r="I502" s="155"/>
      <c r="J502" s="155"/>
      <c r="K502" s="48">
        <v>0</v>
      </c>
      <c r="L502" s="48">
        <v>0</v>
      </c>
      <c r="M502" s="237">
        <f>+IF(M4="n/a",0,E502)</f>
        <v>0</v>
      </c>
      <c r="N502" s="237">
        <v>0</v>
      </c>
      <c r="O502" s="237">
        <v>0</v>
      </c>
      <c r="P502" s="237">
        <v>0</v>
      </c>
      <c r="Q502" s="237">
        <v>0</v>
      </c>
      <c r="R502" s="48">
        <v>0</v>
      </c>
      <c r="S502" s="48"/>
      <c r="T502" s="48">
        <f t="shared" ref="T502:T506" si="180">SUM(K502:R502)</f>
        <v>0</v>
      </c>
    </row>
    <row r="503" spans="1:20" x14ac:dyDescent="0.2">
      <c r="B503" s="43">
        <v>2</v>
      </c>
      <c r="C503" s="85">
        <v>11402202</v>
      </c>
      <c r="D503" s="47" t="str">
        <f>+IF(G503="","",VLOOKUP('AFE DETAILED'!C503,'AVERAGE COST'!$B:$D,3,0))</f>
        <v>GLOBAL</v>
      </c>
      <c r="E503" s="48">
        <f>+IF(C503="",0,VLOOKUP(C503,'AVERAGE COST'!$B$3:$E$995,4))</f>
        <v>0</v>
      </c>
      <c r="F503" s="47" t="s">
        <v>203</v>
      </c>
      <c r="G503" s="43">
        <v>114022</v>
      </c>
      <c r="H503" s="47" t="s">
        <v>395</v>
      </c>
      <c r="I503" s="155"/>
      <c r="J503" s="155"/>
      <c r="K503" s="48">
        <v>0</v>
      </c>
      <c r="L503" s="48">
        <v>0</v>
      </c>
      <c r="M503" s="237">
        <f>+IF(M506=0,0,E503)</f>
        <v>0</v>
      </c>
      <c r="N503" s="237">
        <f>+IF(N506=0,0,IF(AND(M503=0),$E$503,0))</f>
        <v>0</v>
      </c>
      <c r="O503" s="237">
        <f>+IF(O506=0,0,IF(AND(N503=0,M503=0),$E$503,0))</f>
        <v>0</v>
      </c>
      <c r="P503" s="237">
        <f>+IF(P506=0,0,IF(AND(O503=0,M503=0,N503=0),$E$503,0))</f>
        <v>0</v>
      </c>
      <c r="Q503" s="237">
        <f>+IF(Q506=0,0,IF(AND(P503=0,O503=0,M503=0,N503=0),$E$503,0))</f>
        <v>0</v>
      </c>
      <c r="R503" s="237">
        <f>+IF(R506=0,0,IF(AND(Q503=0,P503=0,N503=0,O503=0,M503=0),$E$503,0))</f>
        <v>0</v>
      </c>
      <c r="S503" s="48"/>
      <c r="T503" s="48">
        <f t="shared" si="180"/>
        <v>0</v>
      </c>
    </row>
    <row r="504" spans="1:20" x14ac:dyDescent="0.2">
      <c r="B504" s="43">
        <v>3</v>
      </c>
      <c r="C504" s="85">
        <v>11402203</v>
      </c>
      <c r="D504" s="47" t="str">
        <f>+IF(G504="","",VLOOKUP('AFE DETAILED'!C504,'AVERAGE COST'!$B:$D,3,0))</f>
        <v>DAY</v>
      </c>
      <c r="E504" s="48">
        <f>+IF(C504="",0,VLOOKUP(C504,'AVERAGE COST'!$B$3:$E$995,4))</f>
        <v>0</v>
      </c>
      <c r="F504" s="47" t="s">
        <v>237</v>
      </c>
      <c r="G504" s="43">
        <v>114022</v>
      </c>
      <c r="H504" s="47" t="s">
        <v>395</v>
      </c>
      <c r="I504" s="155"/>
      <c r="J504" s="155"/>
      <c r="K504" s="48">
        <v>0</v>
      </c>
      <c r="L504" s="48">
        <v>0</v>
      </c>
      <c r="M504" s="237">
        <f>+IF(M4="n/a",0,$E$504*ROUNDUP((M8+M9),0))</f>
        <v>0</v>
      </c>
      <c r="N504" s="237">
        <f t="shared" ref="N504:R504" si="181">+IF(N4="n/a",0,$E$504*ROUNDUP((N8+N9),0))</f>
        <v>0</v>
      </c>
      <c r="O504" s="237">
        <f t="shared" si="181"/>
        <v>0</v>
      </c>
      <c r="P504" s="237">
        <f t="shared" si="181"/>
        <v>0</v>
      </c>
      <c r="Q504" s="237">
        <f t="shared" si="181"/>
        <v>0</v>
      </c>
      <c r="R504" s="237">
        <f t="shared" si="181"/>
        <v>0</v>
      </c>
      <c r="S504" s="48"/>
      <c r="T504" s="48">
        <f t="shared" si="180"/>
        <v>0</v>
      </c>
    </row>
    <row r="505" spans="1:20" x14ac:dyDescent="0.2">
      <c r="B505" s="43">
        <v>4</v>
      </c>
      <c r="C505" s="85">
        <v>11402204</v>
      </c>
      <c r="D505" s="47" t="str">
        <f>+IF(G505="","",VLOOKUP('AFE DETAILED'!C505,'AVERAGE COST'!$B:$D,3,0))</f>
        <v>GLOBAL</v>
      </c>
      <c r="E505" s="48">
        <f>+IF(C505="",0,VLOOKUP(C505,'AVERAGE COST'!$B$3:$E$995,4))</f>
        <v>0</v>
      </c>
      <c r="F505" s="47" t="s">
        <v>98</v>
      </c>
      <c r="G505" s="43">
        <v>114022</v>
      </c>
      <c r="H505" s="47" t="s">
        <v>395</v>
      </c>
      <c r="I505" s="155"/>
      <c r="J505" s="155"/>
      <c r="K505" s="48">
        <v>0</v>
      </c>
      <c r="L505" s="48">
        <v>0</v>
      </c>
      <c r="M505" s="237">
        <v>0</v>
      </c>
      <c r="N505" s="237">
        <v>0</v>
      </c>
      <c r="O505" s="237">
        <v>0</v>
      </c>
      <c r="P505" s="237">
        <v>0</v>
      </c>
      <c r="Q505" s="237">
        <v>0</v>
      </c>
      <c r="R505" s="48">
        <v>0</v>
      </c>
      <c r="S505" s="48"/>
      <c r="T505" s="48">
        <f t="shared" si="180"/>
        <v>0</v>
      </c>
    </row>
    <row r="506" spans="1:20" x14ac:dyDescent="0.2">
      <c r="B506" s="43">
        <v>5</v>
      </c>
      <c r="C506" s="85">
        <v>11402205</v>
      </c>
      <c r="D506" s="47" t="str">
        <f>+IF(G506="","",VLOOKUP('AFE DETAILED'!C506,'AVERAGE COST'!$B:$D,3,0))</f>
        <v>DAY</v>
      </c>
      <c r="E506" s="48">
        <f>+IF(C506="",0,VLOOKUP(C506,'AVERAGE COST'!$B$3:$E$995,4))</f>
        <v>0</v>
      </c>
      <c r="F506" s="47" t="s">
        <v>394</v>
      </c>
      <c r="G506" s="43">
        <v>114022</v>
      </c>
      <c r="H506" s="47" t="s">
        <v>395</v>
      </c>
      <c r="I506" s="155"/>
      <c r="J506" s="155"/>
      <c r="K506" s="48">
        <v>0</v>
      </c>
      <c r="L506" s="48">
        <v>0</v>
      </c>
      <c r="M506" s="237">
        <f>+IF(M4="n/a",0,$E$506*ROUNDUP((M8+M9),0))</f>
        <v>0</v>
      </c>
      <c r="N506" s="237">
        <f t="shared" ref="N506:R506" si="182">+IF(N4="n/a",0,$E$506*ROUNDUP((N8+N9),0))</f>
        <v>0</v>
      </c>
      <c r="O506" s="237">
        <f t="shared" si="182"/>
        <v>0</v>
      </c>
      <c r="P506" s="237">
        <f t="shared" si="182"/>
        <v>0</v>
      </c>
      <c r="Q506" s="237">
        <f t="shared" si="182"/>
        <v>0</v>
      </c>
      <c r="R506" s="237">
        <f t="shared" si="182"/>
        <v>0</v>
      </c>
      <c r="S506" s="48"/>
      <c r="T506" s="48">
        <f t="shared" si="180"/>
        <v>0</v>
      </c>
    </row>
    <row r="507" spans="1:20" s="27" customFormat="1" x14ac:dyDescent="0.2">
      <c r="A507" s="28"/>
      <c r="B507" s="66" t="s">
        <v>32</v>
      </c>
      <c r="C507" s="67"/>
      <c r="D507" s="68"/>
      <c r="E507" s="92" t="s">
        <v>576</v>
      </c>
      <c r="F507" s="106"/>
      <c r="G507" s="67"/>
      <c r="H507" s="68"/>
      <c r="I507" s="69"/>
      <c r="J507" s="69"/>
      <c r="K507" s="49">
        <f>SUM(K502:K506)</f>
        <v>0</v>
      </c>
      <c r="L507" s="49">
        <f t="shared" ref="L507:T507" si="183">SUM(L502:L506)</f>
        <v>0</v>
      </c>
      <c r="M507" s="238">
        <f t="shared" si="183"/>
        <v>0</v>
      </c>
      <c r="N507" s="238">
        <f t="shared" si="183"/>
        <v>0</v>
      </c>
      <c r="O507" s="238">
        <f t="shared" si="183"/>
        <v>0</v>
      </c>
      <c r="P507" s="238">
        <f t="shared" si="183"/>
        <v>0</v>
      </c>
      <c r="Q507" s="238">
        <f t="shared" si="183"/>
        <v>0</v>
      </c>
      <c r="R507" s="49">
        <f t="shared" si="183"/>
        <v>0</v>
      </c>
      <c r="S507" s="49"/>
      <c r="T507" s="49">
        <f t="shared" si="183"/>
        <v>0</v>
      </c>
    </row>
    <row r="508" spans="1:20" s="27" customFormat="1" x14ac:dyDescent="0.2">
      <c r="A508" s="28"/>
      <c r="B508" s="66" t="s">
        <v>392</v>
      </c>
      <c r="C508" s="67"/>
      <c r="D508" s="68"/>
      <c r="E508" s="92" t="s">
        <v>396</v>
      </c>
      <c r="F508" s="106"/>
      <c r="G508" s="67"/>
      <c r="H508" s="68"/>
      <c r="I508" s="69"/>
      <c r="J508" s="69"/>
      <c r="K508" s="70"/>
      <c r="L508" s="70"/>
      <c r="M508" s="242"/>
      <c r="N508" s="242"/>
      <c r="O508" s="242"/>
      <c r="P508" s="242"/>
      <c r="Q508" s="242"/>
      <c r="R508" s="70"/>
      <c r="S508" s="70"/>
      <c r="T508" s="71"/>
    </row>
    <row r="509" spans="1:20" ht="25.5" x14ac:dyDescent="0.2">
      <c r="B509" s="43">
        <v>1</v>
      </c>
      <c r="C509" s="85">
        <v>11402301</v>
      </c>
      <c r="D509" s="47" t="str">
        <f>+IF(G509="","",VLOOKUP('AFE DETAILED'!C509,'AVERAGE COST'!$B:$D,3,0))</f>
        <v>GLOBAL</v>
      </c>
      <c r="E509" s="48">
        <f>+IF(C509="",0,VLOOKUP(C509,'AVERAGE COST'!$B$3:$E$995,4))</f>
        <v>0</v>
      </c>
      <c r="F509" s="47" t="s">
        <v>399</v>
      </c>
      <c r="G509" s="43">
        <v>114023</v>
      </c>
      <c r="H509" s="47" t="s">
        <v>398</v>
      </c>
      <c r="I509" s="155"/>
      <c r="J509" s="155"/>
      <c r="K509" s="48">
        <v>0</v>
      </c>
      <c r="L509" s="48">
        <v>0</v>
      </c>
      <c r="M509" s="237">
        <f>IF(M4="N/A",0,$E$509/COUNTIF($M$4:$R$4,"&lt;&gt;0"))</f>
        <v>0</v>
      </c>
      <c r="N509" s="237">
        <f t="shared" ref="N509:R509" si="184">IF(N4="N/A",0,$E$509/COUNTIF($M$4:$R$4,"&lt;&gt;0"))</f>
        <v>0</v>
      </c>
      <c r="O509" s="237">
        <f t="shared" si="184"/>
        <v>0</v>
      </c>
      <c r="P509" s="237">
        <f t="shared" si="184"/>
        <v>0</v>
      </c>
      <c r="Q509" s="237">
        <f t="shared" si="184"/>
        <v>0</v>
      </c>
      <c r="R509" s="237">
        <f t="shared" si="184"/>
        <v>0</v>
      </c>
      <c r="S509" s="48"/>
      <c r="T509" s="48">
        <f t="shared" ref="T509:T511" si="185">SUM(K509:R509)</f>
        <v>0</v>
      </c>
    </row>
    <row r="510" spans="1:20" ht="25.5" x14ac:dyDescent="0.2">
      <c r="B510" s="43">
        <v>2</v>
      </c>
      <c r="C510" s="155"/>
      <c r="D510" s="265"/>
      <c r="E510" s="266"/>
      <c r="F510" s="265"/>
      <c r="G510" s="43">
        <v>114023</v>
      </c>
      <c r="H510" s="47" t="s">
        <v>398</v>
      </c>
      <c r="I510" s="155"/>
      <c r="J510" s="155"/>
      <c r="K510" s="269">
        <v>0</v>
      </c>
      <c r="L510" s="269">
        <v>0</v>
      </c>
      <c r="M510" s="267"/>
      <c r="N510" s="267"/>
      <c r="O510" s="267"/>
      <c r="P510" s="267"/>
      <c r="Q510" s="267"/>
      <c r="R510" s="266"/>
      <c r="S510" s="48"/>
      <c r="T510" s="48">
        <f t="shared" si="185"/>
        <v>0</v>
      </c>
    </row>
    <row r="511" spans="1:20" ht="25.5" x14ac:dyDescent="0.2">
      <c r="B511" s="43">
        <v>3</v>
      </c>
      <c r="C511" s="155"/>
      <c r="D511" s="265"/>
      <c r="E511" s="266"/>
      <c r="F511" s="265"/>
      <c r="G511" s="43">
        <v>114023</v>
      </c>
      <c r="H511" s="47" t="s">
        <v>398</v>
      </c>
      <c r="I511" s="155"/>
      <c r="J511" s="155"/>
      <c r="K511" s="269">
        <v>0</v>
      </c>
      <c r="L511" s="269">
        <v>0</v>
      </c>
      <c r="M511" s="267"/>
      <c r="N511" s="267"/>
      <c r="O511" s="267"/>
      <c r="P511" s="267"/>
      <c r="Q511" s="267"/>
      <c r="R511" s="266"/>
      <c r="S511" s="48"/>
      <c r="T511" s="48">
        <f t="shared" si="185"/>
        <v>0</v>
      </c>
    </row>
    <row r="512" spans="1:20" s="27" customFormat="1" x14ac:dyDescent="0.2">
      <c r="A512" s="28"/>
      <c r="B512" s="66" t="s">
        <v>32</v>
      </c>
      <c r="C512" s="67"/>
      <c r="D512" s="68"/>
      <c r="E512" s="92" t="s">
        <v>400</v>
      </c>
      <c r="F512" s="106"/>
      <c r="G512" s="67"/>
      <c r="H512" s="68"/>
      <c r="I512" s="69"/>
      <c r="J512" s="69"/>
      <c r="K512" s="49">
        <f>SUM(K509:K511)</f>
        <v>0</v>
      </c>
      <c r="L512" s="49">
        <f t="shared" ref="L512:T512" si="186">SUM(L509:L511)</f>
        <v>0</v>
      </c>
      <c r="M512" s="238">
        <f t="shared" si="186"/>
        <v>0</v>
      </c>
      <c r="N512" s="238">
        <f t="shared" si="186"/>
        <v>0</v>
      </c>
      <c r="O512" s="238">
        <f t="shared" si="186"/>
        <v>0</v>
      </c>
      <c r="P512" s="238">
        <f t="shared" si="186"/>
        <v>0</v>
      </c>
      <c r="Q512" s="238">
        <f t="shared" si="186"/>
        <v>0</v>
      </c>
      <c r="R512" s="49">
        <f t="shared" si="186"/>
        <v>0</v>
      </c>
      <c r="S512" s="49"/>
      <c r="T512" s="49">
        <f t="shared" si="186"/>
        <v>0</v>
      </c>
    </row>
    <row r="513" spans="1:20" s="27" customFormat="1" x14ac:dyDescent="0.2">
      <c r="A513" s="28"/>
      <c r="B513" s="66" t="s">
        <v>397</v>
      </c>
      <c r="C513" s="67"/>
      <c r="D513" s="68"/>
      <c r="E513" s="92" t="s">
        <v>401</v>
      </c>
      <c r="F513" s="106"/>
      <c r="G513" s="67"/>
      <c r="H513" s="68"/>
      <c r="I513" s="69"/>
      <c r="J513" s="69"/>
      <c r="K513" s="70"/>
      <c r="L513" s="70"/>
      <c r="M513" s="242"/>
      <c r="N513" s="242"/>
      <c r="O513" s="242"/>
      <c r="P513" s="242"/>
      <c r="Q513" s="242"/>
      <c r="R513" s="70"/>
      <c r="S513" s="70"/>
      <c r="T513" s="71"/>
    </row>
    <row r="514" spans="1:20" s="10" customFormat="1" x14ac:dyDescent="0.2">
      <c r="B514" s="42">
        <v>1</v>
      </c>
      <c r="C514" s="86">
        <v>11402401</v>
      </c>
      <c r="D514" s="47" t="str">
        <f>+IF(G514="","",VLOOKUP('AFE DETAILED'!C514,'AVERAGE COST'!$B:$D,3,0))</f>
        <v>DAY</v>
      </c>
      <c r="E514" s="48">
        <f>+IF(C514="",0,VLOOKUP(C514,'AVERAGE COST'!$B$3:$E$995,4))</f>
        <v>0</v>
      </c>
      <c r="F514" s="107" t="s">
        <v>402</v>
      </c>
      <c r="G514" s="42">
        <v>114024</v>
      </c>
      <c r="H514" s="107" t="s">
        <v>401</v>
      </c>
      <c r="I514" s="272"/>
      <c r="J514" s="272"/>
      <c r="K514" s="48">
        <v>0</v>
      </c>
      <c r="L514" s="48">
        <v>0</v>
      </c>
      <c r="M514" s="243">
        <f>+IF(M4="N/A",0,$E$514*ROUNDUP(M8+M9,0))</f>
        <v>0</v>
      </c>
      <c r="N514" s="243">
        <f t="shared" ref="N514:R514" si="187">+IF(N4="N/A",0,$E$514*ROUNDUP(N8+N9,0))</f>
        <v>0</v>
      </c>
      <c r="O514" s="243">
        <f t="shared" si="187"/>
        <v>0</v>
      </c>
      <c r="P514" s="243">
        <f t="shared" si="187"/>
        <v>0</v>
      </c>
      <c r="Q514" s="243">
        <f t="shared" si="187"/>
        <v>0</v>
      </c>
      <c r="R514" s="243">
        <f t="shared" si="187"/>
        <v>0</v>
      </c>
      <c r="S514" s="83"/>
      <c r="T514" s="48">
        <f t="shared" ref="T514:T519" si="188">SUM(K514:R514)</f>
        <v>0</v>
      </c>
    </row>
    <row r="515" spans="1:20" s="10" customFormat="1" x14ac:dyDescent="0.2">
      <c r="B515" s="42">
        <v>2</v>
      </c>
      <c r="C515" s="86">
        <v>11402402</v>
      </c>
      <c r="D515" s="47" t="str">
        <f>+IF(G515="","",VLOOKUP('AFE DETAILED'!C515,'AVERAGE COST'!$B:$D,3,0))</f>
        <v>DAY</v>
      </c>
      <c r="E515" s="48">
        <f>+IF(C515="",0,VLOOKUP(C515,'AVERAGE COST'!$B$3:$E$995,4))</f>
        <v>0</v>
      </c>
      <c r="F515" s="107" t="s">
        <v>443</v>
      </c>
      <c r="G515" s="42">
        <v>114024</v>
      </c>
      <c r="H515" s="107" t="s">
        <v>401</v>
      </c>
      <c r="I515" s="272"/>
      <c r="J515" s="272"/>
      <c r="K515" s="48">
        <v>0</v>
      </c>
      <c r="L515" s="48">
        <v>0</v>
      </c>
      <c r="M515" s="243">
        <f>+IF(M4="N/A",0,$E$515*ROUNDUP(M8+M9,0))</f>
        <v>0</v>
      </c>
      <c r="N515" s="243">
        <f t="shared" ref="N515:R515" si="189">+IF(N4="N/A",0,$E$515*ROUNDUP(N8+N9,0))</f>
        <v>0</v>
      </c>
      <c r="O515" s="243">
        <f t="shared" si="189"/>
        <v>0</v>
      </c>
      <c r="P515" s="243">
        <f t="shared" si="189"/>
        <v>0</v>
      </c>
      <c r="Q515" s="243">
        <f t="shared" si="189"/>
        <v>0</v>
      </c>
      <c r="R515" s="243">
        <f t="shared" si="189"/>
        <v>0</v>
      </c>
      <c r="S515" s="83"/>
      <c r="T515" s="48">
        <f t="shared" si="188"/>
        <v>0</v>
      </c>
    </row>
    <row r="516" spans="1:20" s="10" customFormat="1" x14ac:dyDescent="0.2">
      <c r="B516" s="42">
        <v>3</v>
      </c>
      <c r="C516" s="86">
        <v>11402403</v>
      </c>
      <c r="D516" s="47" t="str">
        <f>+IF(G516="","",VLOOKUP('AFE DETAILED'!C516,'AVERAGE COST'!$B:$D,3,0))</f>
        <v>DAY</v>
      </c>
      <c r="E516" s="48">
        <f>+IF(C516="",0,VLOOKUP(C516,'AVERAGE COST'!$B$3:$E$995,4))</f>
        <v>0</v>
      </c>
      <c r="F516" s="107" t="s">
        <v>403</v>
      </c>
      <c r="G516" s="42">
        <v>114024</v>
      </c>
      <c r="H516" s="107" t="s">
        <v>401</v>
      </c>
      <c r="I516" s="272"/>
      <c r="J516" s="272"/>
      <c r="K516" s="48">
        <v>0</v>
      </c>
      <c r="L516" s="48">
        <v>0</v>
      </c>
      <c r="M516" s="243">
        <f>+IF(M4="N/A",0,$E$516*ROUNDUP(M8+M9,0))</f>
        <v>0</v>
      </c>
      <c r="N516" s="243">
        <f t="shared" ref="N516:R516" si="190">+IF(N4="N/A",0,$E$516*ROUNDUP(N8+N9,0))</f>
        <v>0</v>
      </c>
      <c r="O516" s="243">
        <f t="shared" si="190"/>
        <v>0</v>
      </c>
      <c r="P516" s="243">
        <f t="shared" si="190"/>
        <v>0</v>
      </c>
      <c r="Q516" s="243">
        <f t="shared" si="190"/>
        <v>0</v>
      </c>
      <c r="R516" s="243">
        <f t="shared" si="190"/>
        <v>0</v>
      </c>
      <c r="S516" s="83"/>
      <c r="T516" s="48">
        <f t="shared" si="188"/>
        <v>0</v>
      </c>
    </row>
    <row r="517" spans="1:20" s="10" customFormat="1" x14ac:dyDescent="0.2">
      <c r="B517" s="42">
        <v>4</v>
      </c>
      <c r="C517" s="86">
        <v>11402404</v>
      </c>
      <c r="D517" s="47" t="str">
        <f>+IF(G517="","",VLOOKUP('AFE DETAILED'!C517,'AVERAGE COST'!$B:$D,3,0))</f>
        <v>GLOBAL</v>
      </c>
      <c r="E517" s="48">
        <f>+IF(C517="",0,VLOOKUP(C517,'AVERAGE COST'!$B$3:$E$995,4))</f>
        <v>0</v>
      </c>
      <c r="F517" s="107" t="s">
        <v>98</v>
      </c>
      <c r="G517" s="42">
        <v>114024</v>
      </c>
      <c r="H517" s="107" t="s">
        <v>401</v>
      </c>
      <c r="I517" s="272"/>
      <c r="J517" s="272"/>
      <c r="K517" s="48">
        <v>0</v>
      </c>
      <c r="L517" s="48">
        <v>0</v>
      </c>
      <c r="M517" s="243">
        <v>0</v>
      </c>
      <c r="N517" s="243">
        <v>0</v>
      </c>
      <c r="O517" s="243">
        <v>0</v>
      </c>
      <c r="P517" s="243">
        <v>0</v>
      </c>
      <c r="Q517" s="243">
        <v>0</v>
      </c>
      <c r="R517" s="243">
        <v>0</v>
      </c>
      <c r="S517" s="83"/>
      <c r="T517" s="48">
        <f t="shared" si="188"/>
        <v>0</v>
      </c>
    </row>
    <row r="518" spans="1:20" s="10" customFormat="1" x14ac:dyDescent="0.2">
      <c r="B518" s="42">
        <v>5</v>
      </c>
      <c r="C518" s="86">
        <v>11402405</v>
      </c>
      <c r="D518" s="47" t="str">
        <f>+IF(G518="","",VLOOKUP('AFE DETAILED'!C518,'AVERAGE COST'!$B:$D,3,0))</f>
        <v>DAY</v>
      </c>
      <c r="E518" s="48">
        <f>+IF(C518="",0,VLOOKUP(C518,'AVERAGE COST'!$B$3:$E$995,4))</f>
        <v>0</v>
      </c>
      <c r="F518" s="107" t="s">
        <v>404</v>
      </c>
      <c r="G518" s="42">
        <v>114024</v>
      </c>
      <c r="H518" s="107" t="s">
        <v>401</v>
      </c>
      <c r="I518" s="272"/>
      <c r="J518" s="272"/>
      <c r="K518" s="48">
        <v>0</v>
      </c>
      <c r="L518" s="48">
        <v>0</v>
      </c>
      <c r="M518" s="243">
        <f>+IF(M4="N/A",0,IF('INITIAL DATA'!C104&lt;&gt;0,ROUNDUP(M8+M9,0)*$E$518,0))</f>
        <v>0</v>
      </c>
      <c r="N518" s="243">
        <f>+IF(N4="N/A",0,IF('INITIAL DATA'!D104&lt;&gt;0,ROUNDUP(N8+N9,0)*$E$518,0))</f>
        <v>0</v>
      </c>
      <c r="O518" s="243">
        <f>+IF(O4="N/A",0,IF('INITIAL DATA'!E104&lt;&gt;0,ROUNDUP(O8+O9,0)*$E$518,0))</f>
        <v>0</v>
      </c>
      <c r="P518" s="243">
        <f>+IF(P4="N/A",0,IF('INITIAL DATA'!F104&lt;&gt;0,ROUNDUP(P8+P9,0)*$E$518,0))</f>
        <v>0</v>
      </c>
      <c r="Q518" s="243">
        <f>+IF(Q4="N/A",0,IF('INITIAL DATA'!G104&lt;&gt;0,ROUNDUP(Q8+Q9,0)*$E$518,0))</f>
        <v>0</v>
      </c>
      <c r="R518" s="243">
        <f>+IF(R4="N/A",0,IF('INITIAL DATA'!H104&lt;&gt;0,ROUNDUP(R8+R9,0)*$E$518,0))</f>
        <v>0</v>
      </c>
      <c r="S518" s="83"/>
      <c r="T518" s="48">
        <f t="shared" si="188"/>
        <v>0</v>
      </c>
    </row>
    <row r="519" spans="1:20" s="10" customFormat="1" x14ac:dyDescent="0.2">
      <c r="B519" s="42">
        <v>6</v>
      </c>
      <c r="C519" s="86">
        <v>11402406</v>
      </c>
      <c r="D519" s="47" t="str">
        <f>+IF(G519="","",VLOOKUP('AFE DETAILED'!C519,'AVERAGE COST'!$B:$D,3,0))</f>
        <v>DAY</v>
      </c>
      <c r="E519" s="48">
        <f>+IF(C519="",0,VLOOKUP(C519,'AVERAGE COST'!$B$3:$E$995,4))</f>
        <v>0</v>
      </c>
      <c r="F519" s="107" t="s">
        <v>405</v>
      </c>
      <c r="G519" s="42">
        <v>114024</v>
      </c>
      <c r="H519" s="107" t="s">
        <v>401</v>
      </c>
      <c r="I519" s="272"/>
      <c r="J519" s="272"/>
      <c r="K519" s="48">
        <v>0</v>
      </c>
      <c r="L519" s="48">
        <v>0</v>
      </c>
      <c r="M519" s="243">
        <f>+IF(M4="N/A",0,$E$519*ROUNDUP(M8+M9,0)*2)</f>
        <v>0</v>
      </c>
      <c r="N519" s="243">
        <f t="shared" ref="N519:R519" si="191">+IF(N4="N/A",0,$E$519*ROUNDUP(N8+N9,0)*2)</f>
        <v>0</v>
      </c>
      <c r="O519" s="243">
        <f t="shared" si="191"/>
        <v>0</v>
      </c>
      <c r="P519" s="243">
        <f t="shared" si="191"/>
        <v>0</v>
      </c>
      <c r="Q519" s="243">
        <f t="shared" si="191"/>
        <v>0</v>
      </c>
      <c r="R519" s="243">
        <f t="shared" si="191"/>
        <v>0</v>
      </c>
      <c r="S519" s="83"/>
      <c r="T519" s="48">
        <f t="shared" si="188"/>
        <v>0</v>
      </c>
    </row>
    <row r="520" spans="1:20" s="27" customFormat="1" x14ac:dyDescent="0.2">
      <c r="A520" s="28"/>
      <c r="B520" s="66" t="s">
        <v>32</v>
      </c>
      <c r="C520" s="67"/>
      <c r="D520" s="68"/>
      <c r="E520" s="92" t="s">
        <v>407</v>
      </c>
      <c r="F520" s="106"/>
      <c r="G520" s="67"/>
      <c r="H520" s="68"/>
      <c r="I520" s="69"/>
      <c r="J520" s="69"/>
      <c r="K520" s="49">
        <f>SUM(K514:K519)</f>
        <v>0</v>
      </c>
      <c r="L520" s="49">
        <f t="shared" ref="L520:T520" si="192">SUM(L514:L519)</f>
        <v>0</v>
      </c>
      <c r="M520" s="238">
        <f t="shared" si="192"/>
        <v>0</v>
      </c>
      <c r="N520" s="238">
        <f t="shared" si="192"/>
        <v>0</v>
      </c>
      <c r="O520" s="238">
        <f t="shared" si="192"/>
        <v>0</v>
      </c>
      <c r="P520" s="238">
        <f t="shared" si="192"/>
        <v>0</v>
      </c>
      <c r="Q520" s="238">
        <f t="shared" si="192"/>
        <v>0</v>
      </c>
      <c r="R520" s="49">
        <f t="shared" si="192"/>
        <v>0</v>
      </c>
      <c r="S520" s="49"/>
      <c r="T520" s="49">
        <f t="shared" si="192"/>
        <v>0</v>
      </c>
    </row>
    <row r="521" spans="1:20" s="27" customFormat="1" x14ac:dyDescent="0.2">
      <c r="A521" s="28"/>
      <c r="B521" s="66" t="s">
        <v>406</v>
      </c>
      <c r="C521" s="67"/>
      <c r="D521" s="68"/>
      <c r="E521" s="92" t="s">
        <v>408</v>
      </c>
      <c r="F521" s="106"/>
      <c r="G521" s="67"/>
      <c r="H521" s="68"/>
      <c r="I521" s="69"/>
      <c r="J521" s="69"/>
      <c r="K521" s="70"/>
      <c r="L521" s="70"/>
      <c r="M521" s="242"/>
      <c r="N521" s="242"/>
      <c r="O521" s="242"/>
      <c r="P521" s="242"/>
      <c r="Q521" s="242"/>
      <c r="R521" s="70"/>
      <c r="S521" s="70"/>
      <c r="T521" s="71"/>
    </row>
    <row r="522" spans="1:20" s="10" customFormat="1" ht="27" customHeight="1" x14ac:dyDescent="0.2">
      <c r="B522" s="42">
        <v>1</v>
      </c>
      <c r="C522" s="86">
        <v>11402501</v>
      </c>
      <c r="D522" s="47" t="str">
        <f>+IF(G522="","",VLOOKUP('AFE DETAILED'!C522,'AVERAGE COST'!$B:$D,3,0))</f>
        <v>GLOBAL</v>
      </c>
      <c r="E522" s="48">
        <f>+IF(C522="",0,VLOOKUP(C522,'AVERAGE COST'!$B$3:$E$995,4))</f>
        <v>0</v>
      </c>
      <c r="F522" s="107" t="s">
        <v>203</v>
      </c>
      <c r="G522" s="42">
        <v>114025</v>
      </c>
      <c r="H522" s="107" t="s">
        <v>408</v>
      </c>
      <c r="I522" s="272"/>
      <c r="J522" s="272"/>
      <c r="K522" s="48">
        <v>0</v>
      </c>
      <c r="L522" s="48">
        <v>0</v>
      </c>
      <c r="M522" s="237">
        <f>+IF(M526=0,0,E522)</f>
        <v>0</v>
      </c>
      <c r="N522" s="237">
        <f>+IF(N526=0,0,IF(AND(M522=0),$E$522,0))</f>
        <v>0</v>
      </c>
      <c r="O522" s="237">
        <f>+IF(O526=0,0,IF(AND(N522=0,M522=0),$E$522,0))</f>
        <v>0</v>
      </c>
      <c r="P522" s="237">
        <f>+IF(P526=0,0,IF(AND(O522=0,M522=0,N522=0),$E$522,0))</f>
        <v>0</v>
      </c>
      <c r="Q522" s="237">
        <f>+IF(Q526=0,0,IF(AND(P522=0,O522=0,M522=0,N522=0),$E$522,0))</f>
        <v>0</v>
      </c>
      <c r="R522" s="237">
        <f>+IF(R526=0,0,IF(AND(Q522=0,P522=0,N522=0,O522=0,M522=0),$E$522,0))</f>
        <v>0</v>
      </c>
      <c r="S522" s="83"/>
      <c r="T522" s="48">
        <f t="shared" ref="T522:T527" si="193">SUM(K522:R522)</f>
        <v>0</v>
      </c>
    </row>
    <row r="523" spans="1:20" s="10" customFormat="1" x14ac:dyDescent="0.2">
      <c r="B523" s="42">
        <v>2</v>
      </c>
      <c r="C523" s="86">
        <v>11402502</v>
      </c>
      <c r="D523" s="47" t="str">
        <f>+IF(G523="","",VLOOKUP('AFE DETAILED'!C523,'AVERAGE COST'!$B:$D,3,0))</f>
        <v>DAY</v>
      </c>
      <c r="E523" s="48">
        <f>+IF(C523="",0,VLOOKUP(C523,'AVERAGE COST'!$B$3:$E$995,4))</f>
        <v>0</v>
      </c>
      <c r="F523" s="107" t="s">
        <v>411</v>
      </c>
      <c r="G523" s="42">
        <v>114025</v>
      </c>
      <c r="H523" s="107" t="s">
        <v>408</v>
      </c>
      <c r="I523" s="272"/>
      <c r="J523" s="272"/>
      <c r="K523" s="48">
        <v>0</v>
      </c>
      <c r="L523" s="48">
        <v>0</v>
      </c>
      <c r="M523" s="243">
        <f>+IF(M4="N/A",0,IF('INITIAL DATA'!C105="yes",$E$523*ROUNDUP(M8+M9,0),0))</f>
        <v>0</v>
      </c>
      <c r="N523" s="243">
        <f>+IF(N4="N/A",0,IF('INITIAL DATA'!D105="yes",$E$523*ROUNDUP(N8+N9,0),0))</f>
        <v>0</v>
      </c>
      <c r="O523" s="243">
        <f>+IF(O4="N/A",0,IF('INITIAL DATA'!E105="yes",$E$523*ROUNDUP(O8+O9,0),0))</f>
        <v>0</v>
      </c>
      <c r="P523" s="243">
        <f>+IF(P4="N/A",0,IF('INITIAL DATA'!F105="yes",$E$523*ROUNDUP(P8+P9,0),0))</f>
        <v>0</v>
      </c>
      <c r="Q523" s="243">
        <f>+IF(Q4="N/A",0,IF('INITIAL DATA'!G105="yes",$E$523*ROUNDUP(Q8+Q9,0),0))</f>
        <v>0</v>
      </c>
      <c r="R523" s="243">
        <f>+IF(R4="N/A",0,IF('INITIAL DATA'!H105="yes",$E$523*ROUNDUP(R8+R9,0),0))</f>
        <v>0</v>
      </c>
      <c r="S523" s="83"/>
      <c r="T523" s="48">
        <f t="shared" si="193"/>
        <v>0</v>
      </c>
    </row>
    <row r="524" spans="1:20" s="10" customFormat="1" x14ac:dyDescent="0.2">
      <c r="B524" s="42">
        <v>3</v>
      </c>
      <c r="C524" s="86">
        <v>11402503</v>
      </c>
      <c r="D524" s="47" t="str">
        <f>+IF(G524="","",VLOOKUP('AFE DETAILED'!C524,'AVERAGE COST'!$B:$D,3,0))</f>
        <v>GLOBAL</v>
      </c>
      <c r="E524" s="48">
        <f>+IF(C524="",0,VLOOKUP(C524,'AVERAGE COST'!$B$3:$E$995,4))</f>
        <v>0</v>
      </c>
      <c r="F524" s="107" t="s">
        <v>98</v>
      </c>
      <c r="G524" s="42">
        <v>114025</v>
      </c>
      <c r="H524" s="107" t="s">
        <v>408</v>
      </c>
      <c r="I524" s="272"/>
      <c r="J524" s="272"/>
      <c r="K524" s="48">
        <v>0</v>
      </c>
      <c r="L524" s="48">
        <v>0</v>
      </c>
      <c r="M524" s="243">
        <v>0</v>
      </c>
      <c r="N524" s="243">
        <v>0</v>
      </c>
      <c r="O524" s="243">
        <v>0</v>
      </c>
      <c r="P524" s="243">
        <v>0</v>
      </c>
      <c r="Q524" s="243">
        <v>0</v>
      </c>
      <c r="R524" s="83">
        <v>0</v>
      </c>
      <c r="S524" s="83"/>
      <c r="T524" s="48">
        <f t="shared" si="193"/>
        <v>0</v>
      </c>
    </row>
    <row r="525" spans="1:20" s="10" customFormat="1" x14ac:dyDescent="0.2">
      <c r="B525" s="42">
        <v>4</v>
      </c>
      <c r="C525" s="86">
        <v>11402504</v>
      </c>
      <c r="D525" s="47" t="str">
        <f>+IF(G525="","",VLOOKUP('AFE DETAILED'!C525,'AVERAGE COST'!$B:$D,3,0))</f>
        <v>GLOBAL</v>
      </c>
      <c r="E525" s="48">
        <f>+IF(C525="",0,VLOOKUP(C525,'AVERAGE COST'!$B$3:$E$995,4))</f>
        <v>0</v>
      </c>
      <c r="F525" s="107" t="s">
        <v>412</v>
      </c>
      <c r="G525" s="42">
        <v>114025</v>
      </c>
      <c r="H525" s="107" t="s">
        <v>408</v>
      </c>
      <c r="I525" s="272"/>
      <c r="J525" s="272"/>
      <c r="K525" s="48">
        <v>0</v>
      </c>
      <c r="L525" s="48">
        <v>0</v>
      </c>
      <c r="M525" s="243">
        <f>+IF(M526=0,0,IF('INITIAL DATA'!C107="yes",$E$525,0))</f>
        <v>0</v>
      </c>
      <c r="N525" s="243">
        <f>+IF(N526=0,0,IF('INITIAL DATA'!D107="yes",$E$525,0))</f>
        <v>0</v>
      </c>
      <c r="O525" s="243">
        <f>+IF(O526=0,0,IF('INITIAL DATA'!E107="yes",$E$525,0))</f>
        <v>0</v>
      </c>
      <c r="P525" s="243">
        <f>+IF(P526=0,0,IF('INITIAL DATA'!F107="yes",$E$525,0))</f>
        <v>0</v>
      </c>
      <c r="Q525" s="243">
        <f>+IF(Q526=0,0,IF('INITIAL DATA'!G107="yes",$E$525,0))</f>
        <v>0</v>
      </c>
      <c r="R525" s="83">
        <v>0</v>
      </c>
      <c r="S525" s="83"/>
      <c r="T525" s="48">
        <f t="shared" si="193"/>
        <v>0</v>
      </c>
    </row>
    <row r="526" spans="1:20" s="10" customFormat="1" x14ac:dyDescent="0.2">
      <c r="B526" s="42">
        <v>5</v>
      </c>
      <c r="C526" s="86">
        <v>11402505</v>
      </c>
      <c r="D526" s="47" t="str">
        <f>+IF(G526="","",VLOOKUP('AFE DETAILED'!C526,'AVERAGE COST'!$B:$D,3,0))</f>
        <v>DAY</v>
      </c>
      <c r="E526" s="48">
        <f>+IF(C526="",0,VLOOKUP(C526,'AVERAGE COST'!$B$3:$E$995,4))</f>
        <v>0</v>
      </c>
      <c r="F526" s="107" t="s">
        <v>413</v>
      </c>
      <c r="G526" s="42">
        <v>114025</v>
      </c>
      <c r="H526" s="107" t="s">
        <v>408</v>
      </c>
      <c r="I526" s="272"/>
      <c r="J526" s="272"/>
      <c r="K526" s="48">
        <v>0</v>
      </c>
      <c r="L526" s="48">
        <v>0</v>
      </c>
      <c r="M526" s="243">
        <f>+IF(M4="n/a",0,IF('INITIAL DATA'!C106="yes",$E$526*ROUNDUP(M8+M9,0),0))</f>
        <v>0</v>
      </c>
      <c r="N526" s="243">
        <f>+IF(N4="n/a",0,IF('INITIAL DATA'!D106="yes",$E$526*ROUNDUP(N8+N9,0),0))</f>
        <v>0</v>
      </c>
      <c r="O526" s="243">
        <f>+IF(O4="n/a",0,IF('INITIAL DATA'!E106="yes",$E$526*ROUNDUP(O8+O9,0),0))</f>
        <v>0</v>
      </c>
      <c r="P526" s="243">
        <f>+IF(P4="n/a",0,IF('INITIAL DATA'!F106="yes",$E$526*ROUNDUP(P8+P9,0),0))</f>
        <v>0</v>
      </c>
      <c r="Q526" s="243">
        <f>+IF(Q4="n/a",0,IF('INITIAL DATA'!G106="yes",$E$526*ROUNDUP(Q8+Q9,0),0))</f>
        <v>0</v>
      </c>
      <c r="R526" s="83">
        <v>0</v>
      </c>
      <c r="S526" s="83"/>
      <c r="T526" s="48">
        <f t="shared" si="193"/>
        <v>0</v>
      </c>
    </row>
    <row r="527" spans="1:20" x14ac:dyDescent="0.2">
      <c r="B527" s="43">
        <v>6</v>
      </c>
      <c r="C527" s="155"/>
      <c r="D527" s="265"/>
      <c r="E527" s="266"/>
      <c r="F527" s="265"/>
      <c r="G527" s="42">
        <v>114025</v>
      </c>
      <c r="H527" s="107" t="s">
        <v>408</v>
      </c>
      <c r="I527" s="155"/>
      <c r="J527" s="155"/>
      <c r="K527" s="269">
        <v>0</v>
      </c>
      <c r="L527" s="269">
        <v>0</v>
      </c>
      <c r="M527" s="267"/>
      <c r="N527" s="267"/>
      <c r="O527" s="267"/>
      <c r="P527" s="267"/>
      <c r="Q527" s="267"/>
      <c r="R527" s="266"/>
      <c r="S527" s="48"/>
      <c r="T527" s="48">
        <f t="shared" si="193"/>
        <v>0</v>
      </c>
    </row>
    <row r="528" spans="1:20" s="27" customFormat="1" x14ac:dyDescent="0.2">
      <c r="A528" s="28"/>
      <c r="B528" s="66" t="s">
        <v>32</v>
      </c>
      <c r="C528" s="67"/>
      <c r="D528" s="68"/>
      <c r="E528" s="92" t="s">
        <v>410</v>
      </c>
      <c r="F528" s="106"/>
      <c r="G528" s="67"/>
      <c r="H528" s="68"/>
      <c r="I528" s="69"/>
      <c r="J528" s="69"/>
      <c r="K528" s="49">
        <f>SUM(K522:K527)</f>
        <v>0</v>
      </c>
      <c r="L528" s="49">
        <f t="shared" ref="L528:T528" si="194">SUM(L522:L527)</f>
        <v>0</v>
      </c>
      <c r="M528" s="238">
        <f t="shared" si="194"/>
        <v>0</v>
      </c>
      <c r="N528" s="238">
        <f t="shared" si="194"/>
        <v>0</v>
      </c>
      <c r="O528" s="238">
        <f t="shared" si="194"/>
        <v>0</v>
      </c>
      <c r="P528" s="238">
        <f t="shared" si="194"/>
        <v>0</v>
      </c>
      <c r="Q528" s="238">
        <f t="shared" si="194"/>
        <v>0</v>
      </c>
      <c r="R528" s="49">
        <f t="shared" si="194"/>
        <v>0</v>
      </c>
      <c r="S528" s="49"/>
      <c r="T528" s="49">
        <f t="shared" si="194"/>
        <v>0</v>
      </c>
    </row>
    <row r="529" spans="1:20" s="27" customFormat="1" x14ac:dyDescent="0.2">
      <c r="A529" s="28"/>
      <c r="B529" s="66" t="s">
        <v>409</v>
      </c>
      <c r="C529" s="67"/>
      <c r="D529" s="68"/>
      <c r="E529" s="92" t="s">
        <v>416</v>
      </c>
      <c r="F529" s="106"/>
      <c r="G529" s="67"/>
      <c r="H529" s="68"/>
      <c r="I529" s="69"/>
      <c r="J529" s="69"/>
      <c r="K529" s="70"/>
      <c r="L529" s="70"/>
      <c r="M529" s="242"/>
      <c r="N529" s="242"/>
      <c r="O529" s="242"/>
      <c r="P529" s="242"/>
      <c r="Q529" s="242"/>
      <c r="R529" s="70"/>
      <c r="S529" s="70"/>
      <c r="T529" s="71"/>
    </row>
    <row r="530" spans="1:20" ht="25.5" x14ac:dyDescent="0.2">
      <c r="B530" s="43">
        <v>1</v>
      </c>
      <c r="C530" s="43">
        <v>11402601</v>
      </c>
      <c r="D530" s="47" t="str">
        <f>+IF(G530="","",VLOOKUP('AFE DETAILED'!C530,'AVERAGE COST'!$B:$D,3,0))</f>
        <v>GLOBAL</v>
      </c>
      <c r="E530" s="48">
        <f>+IF(C530="",0,VLOOKUP(C530,'AVERAGE COST'!$B$3:$E$995,4))</f>
        <v>0</v>
      </c>
      <c r="F530" s="47" t="s">
        <v>420</v>
      </c>
      <c r="G530" s="43">
        <v>114026</v>
      </c>
      <c r="H530" s="47" t="s">
        <v>416</v>
      </c>
      <c r="I530" s="155"/>
      <c r="J530" s="155"/>
      <c r="K530" s="48">
        <v>0</v>
      </c>
      <c r="L530" s="48">
        <v>0</v>
      </c>
      <c r="M530" s="237">
        <f>+IF(M4="N/A",0,SUM('AFE SUMMARY'!G24:G26,'AFE SUMMARY'!G54:G79,'AFE SUMMARY'!G85:G91)*'INITIAL DATA'!C108)</f>
        <v>0</v>
      </c>
      <c r="N530" s="237">
        <f>+IF(N4="N/A",0,SUM('AFE SUMMARY'!H24:H26,'AFE SUMMARY'!H54:H79,'AFE SUMMARY'!H85:H91)*'INITIAL DATA'!D108)</f>
        <v>0</v>
      </c>
      <c r="O530" s="237">
        <f>+IF(O4="N/A",0,SUM('AFE SUMMARY'!I24:I26,'AFE SUMMARY'!I54:I79,'AFE SUMMARY'!I85:I91)*'INITIAL DATA'!E108)</f>
        <v>0</v>
      </c>
      <c r="P530" s="237">
        <f>+IF(P4="N/A",0,SUM('AFE SUMMARY'!J24:J26,'AFE SUMMARY'!J54:J79,'AFE SUMMARY'!J85:J91)*'INITIAL DATA'!F108)</f>
        <v>0</v>
      </c>
      <c r="Q530" s="237">
        <f>+IF(Q4="N/A",0,SUM('AFE SUMMARY'!K24:K26,'AFE SUMMARY'!K54:K79,'AFE SUMMARY'!K85:K91)*'INITIAL DATA'!G108)</f>
        <v>0</v>
      </c>
      <c r="R530" s="237">
        <f>+IF(R4="N/A",0,SUM('AFE SUMMARY'!L24:L26,'AFE SUMMARY'!L54:L79,'AFE SUMMARY'!L85:L91)*'INITIAL DATA'!H108)</f>
        <v>0</v>
      </c>
      <c r="S530" s="48"/>
      <c r="T530" s="48">
        <f t="shared" ref="T530:T532" si="195">SUM(K530:R530)</f>
        <v>0</v>
      </c>
    </row>
    <row r="531" spans="1:20" ht="25.5" x14ac:dyDescent="0.2">
      <c r="B531" s="43">
        <v>2</v>
      </c>
      <c r="C531" s="155"/>
      <c r="D531" s="265"/>
      <c r="E531" s="266"/>
      <c r="F531" s="265"/>
      <c r="G531" s="43">
        <v>114026</v>
      </c>
      <c r="H531" s="47" t="s">
        <v>416</v>
      </c>
      <c r="I531" s="155"/>
      <c r="J531" s="155"/>
      <c r="K531" s="269">
        <v>0</v>
      </c>
      <c r="L531" s="269">
        <v>0</v>
      </c>
      <c r="M531" s="267"/>
      <c r="N531" s="267"/>
      <c r="O531" s="267"/>
      <c r="P531" s="267"/>
      <c r="Q531" s="267"/>
      <c r="R531" s="266"/>
      <c r="S531" s="48"/>
      <c r="T531" s="48">
        <f t="shared" si="195"/>
        <v>0</v>
      </c>
    </row>
    <row r="532" spans="1:20" ht="25.5" x14ac:dyDescent="0.2">
      <c r="B532" s="43">
        <v>3</v>
      </c>
      <c r="C532" s="155"/>
      <c r="D532" s="265"/>
      <c r="E532" s="266"/>
      <c r="F532" s="265"/>
      <c r="G532" s="43">
        <v>114026</v>
      </c>
      <c r="H532" s="47" t="s">
        <v>416</v>
      </c>
      <c r="I532" s="155"/>
      <c r="J532" s="155"/>
      <c r="K532" s="269">
        <v>0</v>
      </c>
      <c r="L532" s="269">
        <v>0</v>
      </c>
      <c r="M532" s="267"/>
      <c r="N532" s="267"/>
      <c r="O532" s="267"/>
      <c r="P532" s="267"/>
      <c r="Q532" s="267"/>
      <c r="R532" s="266"/>
      <c r="S532" s="48"/>
      <c r="T532" s="48">
        <f t="shared" si="195"/>
        <v>0</v>
      </c>
    </row>
    <row r="533" spans="1:20" s="27" customFormat="1" x14ac:dyDescent="0.2">
      <c r="A533" s="28"/>
      <c r="B533" s="66" t="s">
        <v>32</v>
      </c>
      <c r="C533" s="67"/>
      <c r="D533" s="68"/>
      <c r="E533" s="92" t="s">
        <v>417</v>
      </c>
      <c r="F533" s="106"/>
      <c r="G533" s="67"/>
      <c r="H533" s="68"/>
      <c r="I533" s="69"/>
      <c r="J533" s="69"/>
      <c r="K533" s="49">
        <f>SUM(K530:K532)</f>
        <v>0</v>
      </c>
      <c r="L533" s="49">
        <f t="shared" ref="L533:T533" si="196">SUM(L530:L532)</f>
        <v>0</v>
      </c>
      <c r="M533" s="238">
        <f t="shared" si="196"/>
        <v>0</v>
      </c>
      <c r="N533" s="238">
        <f t="shared" si="196"/>
        <v>0</v>
      </c>
      <c r="O533" s="238">
        <f t="shared" si="196"/>
        <v>0</v>
      </c>
      <c r="P533" s="238">
        <f t="shared" si="196"/>
        <v>0</v>
      </c>
      <c r="Q533" s="238">
        <f t="shared" si="196"/>
        <v>0</v>
      </c>
      <c r="R533" s="49">
        <f t="shared" si="196"/>
        <v>0</v>
      </c>
      <c r="S533" s="49"/>
      <c r="T533" s="49">
        <f t="shared" si="196"/>
        <v>0</v>
      </c>
    </row>
    <row r="534" spans="1:20" s="27" customFormat="1" x14ac:dyDescent="0.2">
      <c r="A534" s="28"/>
      <c r="B534" s="66" t="s">
        <v>414</v>
      </c>
      <c r="C534" s="67"/>
      <c r="D534" s="68"/>
      <c r="E534" s="92" t="s">
        <v>418</v>
      </c>
      <c r="F534" s="106"/>
      <c r="G534" s="67"/>
      <c r="H534" s="68"/>
      <c r="I534" s="69"/>
      <c r="J534" s="69"/>
      <c r="K534" s="70"/>
      <c r="L534" s="70"/>
      <c r="M534" s="242"/>
      <c r="N534" s="242"/>
      <c r="O534" s="242"/>
      <c r="P534" s="242"/>
      <c r="Q534" s="242"/>
      <c r="R534" s="70"/>
      <c r="S534" s="70"/>
      <c r="T534" s="71"/>
    </row>
    <row r="535" spans="1:20" x14ac:dyDescent="0.2">
      <c r="B535" s="43">
        <v>1</v>
      </c>
      <c r="C535" s="43">
        <v>11402602</v>
      </c>
      <c r="D535" s="47" t="str">
        <f>+IF(G535="","",VLOOKUP('AFE DETAILED'!C535,'AVERAGE COST'!$B:$D,3,0))</f>
        <v>GLOBAL</v>
      </c>
      <c r="E535" s="48">
        <f>+IF(C535="",0,VLOOKUP(C535,'AVERAGE COST'!$B$3:$E$995,4))</f>
        <v>0</v>
      </c>
      <c r="F535" s="47" t="s">
        <v>421</v>
      </c>
      <c r="G535" s="43">
        <v>114026</v>
      </c>
      <c r="H535" s="47" t="s">
        <v>418</v>
      </c>
      <c r="I535" s="155"/>
      <c r="J535" s="155"/>
      <c r="K535" s="48">
        <v>0</v>
      </c>
      <c r="L535" s="48">
        <v>0</v>
      </c>
      <c r="M535" s="237">
        <f>+IF(M4="N/A",0,SUM('AFE SUMMARY'!G24:G26,'AFE SUMMARY'!G54:G79,'AFE SUMMARY'!G85:G91)*'INITIAL DATA'!C109)</f>
        <v>0</v>
      </c>
      <c r="N535" s="237">
        <f>+IF(N4="N/A",0,SUM('AFE SUMMARY'!H24:H26,'AFE SUMMARY'!H54:H79,'AFE SUMMARY'!H85:H91)*'INITIAL DATA'!D109)</f>
        <v>0</v>
      </c>
      <c r="O535" s="237">
        <f>+IF(O4="N/A",0,SUM('AFE SUMMARY'!I24:I26,'AFE SUMMARY'!I54:I79,'AFE SUMMARY'!I85:I91)*'INITIAL DATA'!E109)</f>
        <v>0</v>
      </c>
      <c r="P535" s="237">
        <f>+IF(P4="N/A",0,SUM('AFE SUMMARY'!J24:J26,'AFE SUMMARY'!J54:J79,'AFE SUMMARY'!J85:J91)*'INITIAL DATA'!F109)</f>
        <v>0</v>
      </c>
      <c r="Q535" s="237">
        <f>+IF(Q4="N/A",0,SUM('AFE SUMMARY'!K24:K26,'AFE SUMMARY'!K54:K79,'AFE SUMMARY'!K85:K91)*'INITIAL DATA'!G109)</f>
        <v>0</v>
      </c>
      <c r="R535" s="237">
        <f>+IF(R4="N/A",0,SUM('AFE SUMMARY'!L24:L26,'AFE SUMMARY'!L54:L79,'AFE SUMMARY'!L85:L91)*'INITIAL DATA'!H109)</f>
        <v>0</v>
      </c>
      <c r="S535" s="48"/>
      <c r="T535" s="48">
        <f t="shared" ref="T535:T537" si="197">SUM(K535:R535)</f>
        <v>0</v>
      </c>
    </row>
    <row r="536" spans="1:20" x14ac:dyDescent="0.2">
      <c r="B536" s="43">
        <v>2</v>
      </c>
      <c r="C536" s="155"/>
      <c r="D536" s="265"/>
      <c r="E536" s="266"/>
      <c r="F536" s="265"/>
      <c r="G536" s="43">
        <v>114026</v>
      </c>
      <c r="H536" s="47" t="s">
        <v>418</v>
      </c>
      <c r="I536" s="155"/>
      <c r="J536" s="155"/>
      <c r="K536" s="269">
        <v>0</v>
      </c>
      <c r="L536" s="269">
        <v>0</v>
      </c>
      <c r="M536" s="267"/>
      <c r="N536" s="267"/>
      <c r="O536" s="267"/>
      <c r="P536" s="267"/>
      <c r="Q536" s="267"/>
      <c r="R536" s="266"/>
      <c r="S536" s="48"/>
      <c r="T536" s="48">
        <f t="shared" si="197"/>
        <v>0</v>
      </c>
    </row>
    <row r="537" spans="1:20" x14ac:dyDescent="0.2">
      <c r="B537" s="43">
        <v>3</v>
      </c>
      <c r="C537" s="155"/>
      <c r="D537" s="265"/>
      <c r="E537" s="266"/>
      <c r="F537" s="265"/>
      <c r="G537" s="43">
        <v>114026</v>
      </c>
      <c r="H537" s="47" t="s">
        <v>418</v>
      </c>
      <c r="I537" s="155"/>
      <c r="J537" s="155"/>
      <c r="K537" s="269">
        <v>0</v>
      </c>
      <c r="L537" s="269">
        <v>0</v>
      </c>
      <c r="M537" s="267"/>
      <c r="N537" s="267"/>
      <c r="O537" s="267"/>
      <c r="P537" s="267"/>
      <c r="Q537" s="267"/>
      <c r="R537" s="266"/>
      <c r="S537" s="48"/>
      <c r="T537" s="48">
        <f t="shared" si="197"/>
        <v>0</v>
      </c>
    </row>
    <row r="538" spans="1:20" s="27" customFormat="1" x14ac:dyDescent="0.2">
      <c r="A538" s="28"/>
      <c r="B538" s="66" t="s">
        <v>32</v>
      </c>
      <c r="C538" s="67"/>
      <c r="D538" s="68"/>
      <c r="E538" s="92" t="s">
        <v>419</v>
      </c>
      <c r="F538" s="106"/>
      <c r="G538" s="67"/>
      <c r="H538" s="68"/>
      <c r="I538" s="69"/>
      <c r="J538" s="69"/>
      <c r="K538" s="49">
        <f>SUM(K535:K537)</f>
        <v>0</v>
      </c>
      <c r="L538" s="49">
        <f t="shared" ref="L538:T538" si="198">SUM(L535:L537)</f>
        <v>0</v>
      </c>
      <c r="M538" s="238">
        <f t="shared" si="198"/>
        <v>0</v>
      </c>
      <c r="N538" s="238">
        <f t="shared" si="198"/>
        <v>0</v>
      </c>
      <c r="O538" s="238">
        <f t="shared" si="198"/>
        <v>0</v>
      </c>
      <c r="P538" s="238">
        <f t="shared" si="198"/>
        <v>0</v>
      </c>
      <c r="Q538" s="238">
        <f t="shared" si="198"/>
        <v>0</v>
      </c>
      <c r="R538" s="49">
        <f t="shared" si="198"/>
        <v>0</v>
      </c>
      <c r="S538" s="49"/>
      <c r="T538" s="49">
        <f t="shared" si="198"/>
        <v>0</v>
      </c>
    </row>
    <row r="539" spans="1:20" s="27" customFormat="1" x14ac:dyDescent="0.2">
      <c r="A539" s="28"/>
      <c r="B539" s="55" t="s">
        <v>228</v>
      </c>
      <c r="C539" s="56"/>
      <c r="D539" s="57"/>
      <c r="E539" s="82" t="s">
        <v>415</v>
      </c>
      <c r="F539" s="102"/>
      <c r="G539" s="58"/>
      <c r="H539" s="100"/>
      <c r="I539" s="58"/>
      <c r="J539" s="58"/>
      <c r="K539" s="84">
        <f t="shared" ref="K539:R539" si="199">+K259+K265+K282+K292+K299+K307+K340+K351+K370+K378+K393+K403+K414+K420+K425+K431+K439+K450+K460+K473+K479+K500+K507+K512+K520+K528+K533+K538</f>
        <v>0</v>
      </c>
      <c r="L539" s="84">
        <f t="shared" si="199"/>
        <v>0</v>
      </c>
      <c r="M539" s="244">
        <f t="shared" si="199"/>
        <v>0</v>
      </c>
      <c r="N539" s="244">
        <f t="shared" si="199"/>
        <v>0</v>
      </c>
      <c r="O539" s="244">
        <f t="shared" si="199"/>
        <v>0</v>
      </c>
      <c r="P539" s="244">
        <f t="shared" si="199"/>
        <v>0</v>
      </c>
      <c r="Q539" s="244">
        <f t="shared" si="199"/>
        <v>0</v>
      </c>
      <c r="R539" s="84">
        <f t="shared" si="199"/>
        <v>0</v>
      </c>
      <c r="S539" s="84"/>
      <c r="T539" s="84">
        <f>+T259+T265+T282+T292+T299+T307+T340+T351+T370+T378+T393+T403+T414+T420+T425+T431+T439+T450+T460+T473+T479+T500+T507+T512+T520+T528+T533+T538</f>
        <v>0</v>
      </c>
    </row>
    <row r="540" spans="1:20" x14ac:dyDescent="0.2">
      <c r="K540" s="29"/>
      <c r="L540" s="29"/>
      <c r="M540" s="240"/>
      <c r="N540" s="240"/>
      <c r="O540" s="240"/>
      <c r="P540" s="240"/>
      <c r="Q540" s="240"/>
      <c r="R540" s="29"/>
      <c r="S540" s="29"/>
      <c r="T540" s="29"/>
    </row>
    <row r="541" spans="1:20" s="27" customFormat="1" x14ac:dyDescent="0.2">
      <c r="A541" s="28"/>
      <c r="B541" s="72" t="s">
        <v>422</v>
      </c>
      <c r="C541" s="73"/>
      <c r="D541" s="74"/>
      <c r="E541" s="93" t="s">
        <v>424</v>
      </c>
      <c r="F541" s="104"/>
      <c r="G541" s="73"/>
      <c r="H541" s="74"/>
      <c r="I541" s="73"/>
      <c r="J541" s="73"/>
      <c r="K541" s="75"/>
      <c r="L541" s="75"/>
      <c r="M541" s="241"/>
      <c r="N541" s="241"/>
      <c r="O541" s="241"/>
      <c r="P541" s="241"/>
      <c r="Q541" s="241"/>
      <c r="R541" s="75"/>
      <c r="S541" s="75"/>
      <c r="T541" s="76"/>
    </row>
    <row r="542" spans="1:20" s="27" customFormat="1" x14ac:dyDescent="0.2">
      <c r="A542" s="28"/>
      <c r="B542" s="51" t="s">
        <v>423</v>
      </c>
      <c r="C542" s="52"/>
      <c r="D542" s="53"/>
      <c r="E542" s="91" t="s">
        <v>577</v>
      </c>
      <c r="F542" s="105"/>
      <c r="G542" s="52"/>
      <c r="H542" s="53"/>
      <c r="I542" s="54"/>
      <c r="J542" s="54"/>
      <c r="K542" s="64"/>
      <c r="L542" s="64"/>
      <c r="M542" s="236"/>
      <c r="N542" s="236"/>
      <c r="O542" s="236"/>
      <c r="P542" s="236"/>
      <c r="Q542" s="236"/>
      <c r="R542" s="64"/>
      <c r="S542" s="64"/>
      <c r="T542" s="65"/>
    </row>
    <row r="543" spans="1:20" x14ac:dyDescent="0.2">
      <c r="B543" s="43">
        <v>1</v>
      </c>
      <c r="C543" s="85">
        <v>11500101</v>
      </c>
      <c r="D543" s="47" t="str">
        <f>+IF(G543="","",VLOOKUP('AFE DETAILED'!C543,'AVERAGE COST'!$B:$D,3,0))</f>
        <v>UNIT</v>
      </c>
      <c r="E543" s="48">
        <f>+IF(C543="",0,VLOOKUP(C543,'AVERAGE COST'!$B$3:$E$995,4))</f>
        <v>0</v>
      </c>
      <c r="F543" s="47" t="s">
        <v>425</v>
      </c>
      <c r="G543" s="43">
        <v>115001</v>
      </c>
      <c r="H543" s="47" t="s">
        <v>426</v>
      </c>
      <c r="I543" s="155"/>
      <c r="J543" s="155"/>
      <c r="K543" s="48">
        <v>0</v>
      </c>
      <c r="L543" s="48">
        <v>0</v>
      </c>
      <c r="M543" s="237">
        <f>+IF(M4="n/a",0,(((ROUNDUP($T$10,0))/30)/$T$10)*(M8+M9)*$E$543)</f>
        <v>0</v>
      </c>
      <c r="N543" s="237">
        <f>+IF(N4="n/a",0,(((ROUNDUP($T$10,0))/30)/$T$10)*(N8+N9)*$E$543)</f>
        <v>0</v>
      </c>
      <c r="O543" s="237">
        <f t="shared" ref="O543:R543" si="200">+IF(O4="n/a",0,(((ROUNDUP($T$10,0))/30)/$T$10)*(O8+O9)*$E$543)</f>
        <v>0</v>
      </c>
      <c r="P543" s="237">
        <f t="shared" si="200"/>
        <v>0</v>
      </c>
      <c r="Q543" s="237">
        <f t="shared" si="200"/>
        <v>0</v>
      </c>
      <c r="R543" s="48">
        <f t="shared" si="200"/>
        <v>0</v>
      </c>
      <c r="S543" s="48"/>
      <c r="T543" s="48">
        <f>SUM(K543:R543)</f>
        <v>0</v>
      </c>
    </row>
    <row r="544" spans="1:20" x14ac:dyDescent="0.2">
      <c r="B544" s="43">
        <v>2</v>
      </c>
      <c r="C544" s="155"/>
      <c r="D544" s="265"/>
      <c r="E544" s="266"/>
      <c r="F544" s="265"/>
      <c r="G544" s="43">
        <v>115001</v>
      </c>
      <c r="H544" s="47" t="s">
        <v>426</v>
      </c>
      <c r="I544" s="155"/>
      <c r="J544" s="155"/>
      <c r="K544" s="269">
        <v>0</v>
      </c>
      <c r="L544" s="269">
        <v>0</v>
      </c>
      <c r="M544" s="267"/>
      <c r="N544" s="267"/>
      <c r="O544" s="267"/>
      <c r="P544" s="267"/>
      <c r="Q544" s="267"/>
      <c r="R544" s="266"/>
      <c r="S544" s="48"/>
      <c r="T544" s="48">
        <f t="shared" ref="T544:T546" si="201">SUM(K544:R544)</f>
        <v>0</v>
      </c>
    </row>
    <row r="545" spans="1:20" x14ac:dyDescent="0.2">
      <c r="B545" s="43">
        <v>3</v>
      </c>
      <c r="C545" s="155"/>
      <c r="D545" s="265"/>
      <c r="E545" s="266"/>
      <c r="F545" s="265"/>
      <c r="G545" s="43">
        <v>115001</v>
      </c>
      <c r="H545" s="47" t="s">
        <v>426</v>
      </c>
      <c r="I545" s="155"/>
      <c r="J545" s="155"/>
      <c r="K545" s="269">
        <v>0</v>
      </c>
      <c r="L545" s="269">
        <v>0</v>
      </c>
      <c r="M545" s="267"/>
      <c r="N545" s="267"/>
      <c r="O545" s="267"/>
      <c r="P545" s="267"/>
      <c r="Q545" s="267"/>
      <c r="R545" s="266"/>
      <c r="S545" s="48"/>
      <c r="T545" s="48">
        <f t="shared" si="201"/>
        <v>0</v>
      </c>
    </row>
    <row r="546" spans="1:20" x14ac:dyDescent="0.2">
      <c r="B546" s="43">
        <v>4</v>
      </c>
      <c r="C546" s="155"/>
      <c r="D546" s="265"/>
      <c r="E546" s="266"/>
      <c r="F546" s="265"/>
      <c r="G546" s="43">
        <v>115001</v>
      </c>
      <c r="H546" s="47" t="s">
        <v>426</v>
      </c>
      <c r="I546" s="155"/>
      <c r="J546" s="155"/>
      <c r="K546" s="269">
        <v>0</v>
      </c>
      <c r="L546" s="269">
        <v>0</v>
      </c>
      <c r="M546" s="267"/>
      <c r="N546" s="267"/>
      <c r="O546" s="267"/>
      <c r="P546" s="267"/>
      <c r="Q546" s="267"/>
      <c r="R546" s="266"/>
      <c r="S546" s="48"/>
      <c r="T546" s="48">
        <f t="shared" si="201"/>
        <v>0</v>
      </c>
    </row>
    <row r="547" spans="1:20" s="27" customFormat="1" x14ac:dyDescent="0.2">
      <c r="A547" s="28"/>
      <c r="B547" s="66" t="s">
        <v>32</v>
      </c>
      <c r="C547" s="67"/>
      <c r="D547" s="68"/>
      <c r="E547" s="92" t="s">
        <v>578</v>
      </c>
      <c r="F547" s="106"/>
      <c r="G547" s="67"/>
      <c r="H547" s="68"/>
      <c r="I547" s="69"/>
      <c r="J547" s="69"/>
      <c r="K547" s="49">
        <f>SUM(K543:K546)</f>
        <v>0</v>
      </c>
      <c r="L547" s="49">
        <f t="shared" ref="L547:T547" si="202">SUM(L543:L546)</f>
        <v>0</v>
      </c>
      <c r="M547" s="238">
        <f t="shared" si="202"/>
        <v>0</v>
      </c>
      <c r="N547" s="238">
        <f t="shared" si="202"/>
        <v>0</v>
      </c>
      <c r="O547" s="238">
        <f t="shared" si="202"/>
        <v>0</v>
      </c>
      <c r="P547" s="238">
        <f t="shared" si="202"/>
        <v>0</v>
      </c>
      <c r="Q547" s="238">
        <f t="shared" si="202"/>
        <v>0</v>
      </c>
      <c r="R547" s="49">
        <f t="shared" si="202"/>
        <v>0</v>
      </c>
      <c r="S547" s="49"/>
      <c r="T547" s="49">
        <f t="shared" si="202"/>
        <v>0</v>
      </c>
    </row>
    <row r="548" spans="1:20" s="27" customFormat="1" x14ac:dyDescent="0.2">
      <c r="A548" s="28"/>
      <c r="B548" s="66" t="s">
        <v>427</v>
      </c>
      <c r="C548" s="67"/>
      <c r="D548" s="68"/>
      <c r="E548" s="92" t="s">
        <v>428</v>
      </c>
      <c r="F548" s="106"/>
      <c r="G548" s="67"/>
      <c r="H548" s="68"/>
      <c r="I548" s="69"/>
      <c r="J548" s="69"/>
      <c r="K548" s="70"/>
      <c r="L548" s="70"/>
      <c r="M548" s="242"/>
      <c r="N548" s="242"/>
      <c r="O548" s="242"/>
      <c r="P548" s="242"/>
      <c r="Q548" s="242"/>
      <c r="R548" s="70"/>
      <c r="S548" s="70"/>
      <c r="T548" s="71"/>
    </row>
    <row r="549" spans="1:20" x14ac:dyDescent="0.2">
      <c r="B549" s="43">
        <v>1</v>
      </c>
      <c r="C549" s="85">
        <v>11500201</v>
      </c>
      <c r="D549" s="47" t="str">
        <f>+IF(G549="","",VLOOKUP('AFE DETAILED'!C549,'AVERAGE COST'!$B:$D,3,0))</f>
        <v>UNIT</v>
      </c>
      <c r="E549" s="48">
        <f>+IF(C549="",0,VLOOKUP(C549,'AVERAGE COST'!$B$3:$E$995,4))</f>
        <v>0</v>
      </c>
      <c r="F549" s="47" t="s">
        <v>432</v>
      </c>
      <c r="G549" s="43">
        <v>115002</v>
      </c>
      <c r="H549" s="47" t="s">
        <v>431</v>
      </c>
      <c r="I549" s="155"/>
      <c r="J549" s="155"/>
      <c r="K549" s="48">
        <v>0</v>
      </c>
      <c r="L549" s="48">
        <v>0</v>
      </c>
      <c r="M549" s="237">
        <f>+IF(M4="n/a",0,(((ROUNDUP($T$10,0))/8)/$T$10)*(M8+M9)*$E$549)</f>
        <v>0</v>
      </c>
      <c r="N549" s="237">
        <f t="shared" ref="N549:R549" si="203">+IF(N4="n/a",0,(((ROUNDUP($T$10,0))/8)/$T$10)*(N8+N9)*$E$549)</f>
        <v>0</v>
      </c>
      <c r="O549" s="237">
        <f t="shared" si="203"/>
        <v>0</v>
      </c>
      <c r="P549" s="237">
        <f t="shared" si="203"/>
        <v>0</v>
      </c>
      <c r="Q549" s="237">
        <f t="shared" si="203"/>
        <v>0</v>
      </c>
      <c r="R549" s="48">
        <f t="shared" si="203"/>
        <v>0</v>
      </c>
      <c r="S549" s="48"/>
      <c r="T549" s="48">
        <f>SUM(K549:R549)</f>
        <v>0</v>
      </c>
    </row>
    <row r="550" spans="1:20" x14ac:dyDescent="0.2">
      <c r="B550" s="43">
        <v>2</v>
      </c>
      <c r="C550" s="155"/>
      <c r="D550" s="265"/>
      <c r="E550" s="266"/>
      <c r="F550" s="265"/>
      <c r="G550" s="43">
        <v>115002</v>
      </c>
      <c r="H550" s="47" t="s">
        <v>431</v>
      </c>
      <c r="I550" s="155"/>
      <c r="J550" s="155"/>
      <c r="K550" s="269">
        <v>0</v>
      </c>
      <c r="L550" s="269">
        <v>0</v>
      </c>
      <c r="M550" s="267"/>
      <c r="N550" s="267"/>
      <c r="O550" s="267"/>
      <c r="P550" s="267"/>
      <c r="Q550" s="267"/>
      <c r="R550" s="266"/>
      <c r="S550" s="48"/>
      <c r="T550" s="48">
        <f>SUM(K550:R550)</f>
        <v>0</v>
      </c>
    </row>
    <row r="551" spans="1:20" s="27" customFormat="1" x14ac:dyDescent="0.2">
      <c r="A551" s="28"/>
      <c r="B551" s="66" t="s">
        <v>32</v>
      </c>
      <c r="C551" s="67"/>
      <c r="D551" s="68"/>
      <c r="E551" s="92" t="s">
        <v>429</v>
      </c>
      <c r="F551" s="106"/>
      <c r="G551" s="67"/>
      <c r="H551" s="68"/>
      <c r="I551" s="69"/>
      <c r="J551" s="69"/>
      <c r="K551" s="49">
        <f>SUM(K549:K550)</f>
        <v>0</v>
      </c>
      <c r="L551" s="49">
        <f t="shared" ref="L551:T551" si="204">SUM(L549:L550)</f>
        <v>0</v>
      </c>
      <c r="M551" s="238">
        <f t="shared" si="204"/>
        <v>0</v>
      </c>
      <c r="N551" s="238">
        <f t="shared" si="204"/>
        <v>0</v>
      </c>
      <c r="O551" s="238">
        <f t="shared" si="204"/>
        <v>0</v>
      </c>
      <c r="P551" s="238">
        <f t="shared" si="204"/>
        <v>0</v>
      </c>
      <c r="Q551" s="238">
        <f t="shared" si="204"/>
        <v>0</v>
      </c>
      <c r="R551" s="49">
        <f t="shared" si="204"/>
        <v>0</v>
      </c>
      <c r="S551" s="49"/>
      <c r="T551" s="49">
        <f t="shared" si="204"/>
        <v>0</v>
      </c>
    </row>
    <row r="552" spans="1:20" s="27" customFormat="1" x14ac:dyDescent="0.2">
      <c r="A552" s="28"/>
      <c r="B552" s="66" t="s">
        <v>430</v>
      </c>
      <c r="C552" s="67"/>
      <c r="D552" s="68"/>
      <c r="E552" s="92" t="s">
        <v>433</v>
      </c>
      <c r="F552" s="106"/>
      <c r="G552" s="67"/>
      <c r="H552" s="68"/>
      <c r="I552" s="69"/>
      <c r="J552" s="69"/>
      <c r="K552" s="70"/>
      <c r="L552" s="70"/>
      <c r="M552" s="242"/>
      <c r="N552" s="242"/>
      <c r="O552" s="242"/>
      <c r="P552" s="242"/>
      <c r="Q552" s="242"/>
      <c r="R552" s="70"/>
      <c r="S552" s="70"/>
      <c r="T552" s="71"/>
    </row>
    <row r="553" spans="1:20" x14ac:dyDescent="0.2">
      <c r="B553" s="43">
        <v>1</v>
      </c>
      <c r="C553" s="85">
        <v>11500301</v>
      </c>
      <c r="D553" s="47" t="str">
        <f>+IF(G553="","",VLOOKUP('AFE DETAILED'!C553,'AVERAGE COST'!$B:$D,3,0))</f>
        <v>GLOBAL</v>
      </c>
      <c r="E553" s="48">
        <f>+IF(C553="",0,VLOOKUP(C553,'AVERAGE COST'!$B$3:$E$995,4))</f>
        <v>0</v>
      </c>
      <c r="F553" s="47" t="s">
        <v>436</v>
      </c>
      <c r="G553" s="43">
        <v>115003</v>
      </c>
      <c r="H553" s="47" t="s">
        <v>433</v>
      </c>
      <c r="I553" s="155"/>
      <c r="J553" s="155"/>
      <c r="K553" s="48">
        <v>0</v>
      </c>
      <c r="L553" s="48">
        <v>0</v>
      </c>
      <c r="M553" s="237">
        <f>+IF(M4="n/a",0,$E$553*'INITIAL DATA'!C113)</f>
        <v>0</v>
      </c>
      <c r="N553" s="237">
        <f>+IF(N4="n/a",0,$E$553*'INITIAL DATA'!D113)</f>
        <v>0</v>
      </c>
      <c r="O553" s="237">
        <f>+IF(O4="n/a",0,$E$553*'INITIAL DATA'!E113)</f>
        <v>0</v>
      </c>
      <c r="P553" s="237">
        <f>+IF(P4="n/a",0,$E$553*'INITIAL DATA'!F113)</f>
        <v>0</v>
      </c>
      <c r="Q553" s="237">
        <f>+IF(Q4="n/a",0,$E$553*'INITIAL DATA'!G113)</f>
        <v>0</v>
      </c>
      <c r="R553" s="48">
        <f>+IF(R4="n/a",0,$E$553*'INITIAL DATA'!H113)</f>
        <v>0</v>
      </c>
      <c r="S553" s="48"/>
      <c r="T553" s="48">
        <f>SUM(K553:R553)</f>
        <v>0</v>
      </c>
    </row>
    <row r="554" spans="1:20" x14ac:dyDescent="0.2">
      <c r="B554" s="43">
        <v>2</v>
      </c>
      <c r="C554" s="85">
        <v>11500302</v>
      </c>
      <c r="D554" s="47" t="str">
        <f>+IF(G554="","",VLOOKUP('AFE DETAILED'!C554,'AVERAGE COST'!$B:$D,3,0))</f>
        <v>GLOBAL</v>
      </c>
      <c r="E554" s="48">
        <f>+IF(C554="",0,VLOOKUP(C554,'AVERAGE COST'!$B$3:$E$995,4))</f>
        <v>0</v>
      </c>
      <c r="F554" s="47" t="s">
        <v>437</v>
      </c>
      <c r="G554" s="43">
        <v>115003</v>
      </c>
      <c r="H554" s="47" t="s">
        <v>433</v>
      </c>
      <c r="I554" s="155"/>
      <c r="J554" s="155"/>
      <c r="K554" s="48">
        <v>0</v>
      </c>
      <c r="L554" s="48">
        <v>0</v>
      </c>
      <c r="M554" s="237">
        <f>+IF(M4="n/a",0,$E$554*ROUNDUP(M8+M9,0))</f>
        <v>0</v>
      </c>
      <c r="N554" s="237">
        <f t="shared" ref="N554:R554" si="205">+IF(N4="n/a",0,$E$554*ROUNDUP(N8+N9,0))</f>
        <v>0</v>
      </c>
      <c r="O554" s="237">
        <f t="shared" si="205"/>
        <v>0</v>
      </c>
      <c r="P554" s="237">
        <f t="shared" si="205"/>
        <v>0</v>
      </c>
      <c r="Q554" s="237">
        <f t="shared" si="205"/>
        <v>0</v>
      </c>
      <c r="R554" s="48">
        <f t="shared" si="205"/>
        <v>0</v>
      </c>
      <c r="S554" s="48"/>
      <c r="T554" s="48">
        <f t="shared" ref="T554:T561" si="206">SUM(K554:R554)</f>
        <v>0</v>
      </c>
    </row>
    <row r="555" spans="1:20" x14ac:dyDescent="0.2">
      <c r="B555" s="43">
        <v>3</v>
      </c>
      <c r="C555" s="85">
        <v>11500303</v>
      </c>
      <c r="D555" s="47" t="str">
        <f>+IF(G555="","",VLOOKUP('AFE DETAILED'!C555,'AVERAGE COST'!$B:$D,3,0))</f>
        <v>DAY</v>
      </c>
      <c r="E555" s="48">
        <f>+IF(C555="",0,VLOOKUP(C555,'AVERAGE COST'!$B$3:$E$995,4))</f>
        <v>0</v>
      </c>
      <c r="F555" s="47" t="s">
        <v>438</v>
      </c>
      <c r="G555" s="43">
        <v>115003</v>
      </c>
      <c r="H555" s="47" t="s">
        <v>433</v>
      </c>
      <c r="I555" s="155"/>
      <c r="J555" s="155"/>
      <c r="K555" s="48">
        <v>0</v>
      </c>
      <c r="L555" s="48">
        <v>0</v>
      </c>
      <c r="M555" s="237">
        <f>+IF(M4="n/a",0,$E$555*'INITIAL DATA'!C114)</f>
        <v>0</v>
      </c>
      <c r="N555" s="237">
        <f>+IF(N4="n/a",0,$E$555*'INITIAL DATA'!D114)</f>
        <v>0</v>
      </c>
      <c r="O555" s="237">
        <f>+IF(O4="n/a",0,$E$555*'INITIAL DATA'!E114)</f>
        <v>0</v>
      </c>
      <c r="P555" s="237">
        <f>+IF(P4="n/a",0,$E$555*'INITIAL DATA'!F114)</f>
        <v>0</v>
      </c>
      <c r="Q555" s="237">
        <f>+IF(Q4="n/a",0,$E$555*'INITIAL DATA'!G114)</f>
        <v>0</v>
      </c>
      <c r="R555" s="48">
        <f>+IF(R4="n/a",0,$E$555*'INITIAL DATA'!H114)</f>
        <v>0</v>
      </c>
      <c r="S555" s="48"/>
      <c r="T555" s="48">
        <f t="shared" si="206"/>
        <v>0</v>
      </c>
    </row>
    <row r="556" spans="1:20" x14ac:dyDescent="0.2">
      <c r="B556" s="43">
        <v>4</v>
      </c>
      <c r="C556" s="85">
        <v>11500304</v>
      </c>
      <c r="D556" s="47" t="str">
        <f>+IF(G556="","",VLOOKUP('AFE DETAILED'!C556,'AVERAGE COST'!$B:$D,3,0))</f>
        <v>DAY</v>
      </c>
      <c r="E556" s="48">
        <f>+IF(C556="",0,VLOOKUP(C556,'AVERAGE COST'!$B$3:$E$995,4))</f>
        <v>0</v>
      </c>
      <c r="F556" s="47" t="s">
        <v>508</v>
      </c>
      <c r="G556" s="43">
        <v>115003</v>
      </c>
      <c r="H556" s="47" t="s">
        <v>433</v>
      </c>
      <c r="I556" s="155"/>
      <c r="J556" s="155"/>
      <c r="K556" s="48">
        <v>0</v>
      </c>
      <c r="L556" s="48">
        <v>0</v>
      </c>
      <c r="M556" s="237">
        <f>+IF(M4="n/a",0,$E$556*ROUNDUP(M8+M9,0))</f>
        <v>0</v>
      </c>
      <c r="N556" s="237">
        <f t="shared" ref="N556:R556" si="207">+IF(N4="n/a",0,$E$556*ROUNDUP(N8+N9,0))</f>
        <v>0</v>
      </c>
      <c r="O556" s="237">
        <f t="shared" si="207"/>
        <v>0</v>
      </c>
      <c r="P556" s="237">
        <f t="shared" si="207"/>
        <v>0</v>
      </c>
      <c r="Q556" s="237">
        <f t="shared" si="207"/>
        <v>0</v>
      </c>
      <c r="R556" s="48">
        <f t="shared" si="207"/>
        <v>0</v>
      </c>
      <c r="S556" s="48"/>
      <c r="T556" s="48">
        <f t="shared" si="206"/>
        <v>0</v>
      </c>
    </row>
    <row r="557" spans="1:20" x14ac:dyDescent="0.2">
      <c r="B557" s="43">
        <v>5</v>
      </c>
      <c r="C557" s="85">
        <v>11500305</v>
      </c>
      <c r="D557" s="47" t="str">
        <f>+IF(G557="","",VLOOKUP('AFE DETAILED'!C557,'AVERAGE COST'!$B:$D,3,0))</f>
        <v>DAY</v>
      </c>
      <c r="E557" s="48">
        <f>+IF(C557="",0,VLOOKUP(C557,'AVERAGE COST'!$B$3:$E$995,4))</f>
        <v>0</v>
      </c>
      <c r="F557" s="47" t="s">
        <v>439</v>
      </c>
      <c r="G557" s="43">
        <v>115003</v>
      </c>
      <c r="H557" s="47" t="s">
        <v>433</v>
      </c>
      <c r="I557" s="155"/>
      <c r="J557" s="155"/>
      <c r="K557" s="48">
        <v>0</v>
      </c>
      <c r="L557" s="48">
        <v>0</v>
      </c>
      <c r="M557" s="237">
        <f>+IF(M4="n/a",0,$E$557*'INITIAL DATA'!C115)</f>
        <v>0</v>
      </c>
      <c r="N557" s="237">
        <f>+IF(N4="n/a",0,$E$557*'INITIAL DATA'!D115)</f>
        <v>0</v>
      </c>
      <c r="O557" s="237">
        <f>+IF(O4="n/a",0,$E$557*'INITIAL DATA'!E115)</f>
        <v>0</v>
      </c>
      <c r="P557" s="237">
        <f>+IF(P4="n/a",0,$E$557*'INITIAL DATA'!F115)</f>
        <v>0</v>
      </c>
      <c r="Q557" s="237">
        <f>+IF(Q4="n/a",0,$E$557*'INITIAL DATA'!G115)</f>
        <v>0</v>
      </c>
      <c r="R557" s="48">
        <f>+IF(R4="n/a",0,$E$557*'INITIAL DATA'!H115)</f>
        <v>0</v>
      </c>
      <c r="S557" s="48"/>
      <c r="T557" s="48">
        <f t="shared" si="206"/>
        <v>0</v>
      </c>
    </row>
    <row r="558" spans="1:20" x14ac:dyDescent="0.2">
      <c r="B558" s="43">
        <v>6</v>
      </c>
      <c r="C558" s="85">
        <v>11500306</v>
      </c>
      <c r="D558" s="47" t="str">
        <f>+IF(G558="","",VLOOKUP('AFE DETAILED'!C558,'AVERAGE COST'!$B:$D,3,0))</f>
        <v>DAY</v>
      </c>
      <c r="E558" s="48">
        <f>+IF(C558="",0,VLOOKUP(C558,'AVERAGE COST'!$B$3:$E$995,4))</f>
        <v>0</v>
      </c>
      <c r="F558" s="47" t="s">
        <v>440</v>
      </c>
      <c r="G558" s="43">
        <v>115003</v>
      </c>
      <c r="H558" s="47" t="s">
        <v>433</v>
      </c>
      <c r="I558" s="155"/>
      <c r="J558" s="155"/>
      <c r="K558" s="48">
        <v>0</v>
      </c>
      <c r="L558" s="48">
        <v>0</v>
      </c>
      <c r="M558" s="237">
        <f>+IF(M4="n/a",0,$E$558*'INITIAL DATA'!C116)</f>
        <v>0</v>
      </c>
      <c r="N558" s="237">
        <f>+IF(N4="n/a",0,$E$558*'INITIAL DATA'!D116)</f>
        <v>0</v>
      </c>
      <c r="O558" s="237">
        <f>+IF(O4="n/a",0,$E$558*'INITIAL DATA'!E116)</f>
        <v>0</v>
      </c>
      <c r="P558" s="237">
        <f>+IF(P4="n/a",0,$E$558*'INITIAL DATA'!F116)</f>
        <v>0</v>
      </c>
      <c r="Q558" s="237">
        <f>+IF(Q4="n/a",0,$E$558*'INITIAL DATA'!G116)</f>
        <v>0</v>
      </c>
      <c r="R558" s="48">
        <f>+IF(R4="n/a",0,$E$558*'INITIAL DATA'!H116)</f>
        <v>0</v>
      </c>
      <c r="S558" s="48"/>
      <c r="T558" s="48">
        <f t="shared" si="206"/>
        <v>0</v>
      </c>
    </row>
    <row r="559" spans="1:20" x14ac:dyDescent="0.2">
      <c r="B559" s="43">
        <v>7</v>
      </c>
      <c r="C559" s="85">
        <v>11500307</v>
      </c>
      <c r="D559" s="47" t="str">
        <f>+IF(G559="","",VLOOKUP('AFE DETAILED'!C559,'AVERAGE COST'!$B:$D,3,0))</f>
        <v>DAY</v>
      </c>
      <c r="E559" s="48">
        <f>+IF(C559="",0,VLOOKUP(C559,'AVERAGE COST'!$B$3:$E$995,4))</f>
        <v>0</v>
      </c>
      <c r="F559" s="47" t="s">
        <v>441</v>
      </c>
      <c r="G559" s="43">
        <v>115003</v>
      </c>
      <c r="H559" s="47" t="s">
        <v>433</v>
      </c>
      <c r="I559" s="155"/>
      <c r="J559" s="155"/>
      <c r="K559" s="48">
        <v>0</v>
      </c>
      <c r="L559" s="48">
        <v>0</v>
      </c>
      <c r="M559" s="237">
        <f>+IF(M4="n/a",0,$E$559*'INITIAL DATA'!C117)</f>
        <v>0</v>
      </c>
      <c r="N559" s="237">
        <f>+IF(N4="n/a",0,$E$559*'INITIAL DATA'!D117)</f>
        <v>0</v>
      </c>
      <c r="O559" s="237">
        <f>+IF(O4="n/a",0,$E$559*'INITIAL DATA'!E117)</f>
        <v>0</v>
      </c>
      <c r="P559" s="237">
        <f>+IF(P4="n/a",0,$E$559*'INITIAL DATA'!F117)</f>
        <v>0</v>
      </c>
      <c r="Q559" s="237">
        <f>+IF(Q4="n/a",0,$E$559*'INITIAL DATA'!G117)</f>
        <v>0</v>
      </c>
      <c r="R559" s="48">
        <f>+IF(R4="n/a",0,$E$559*'INITIAL DATA'!H117)</f>
        <v>0</v>
      </c>
      <c r="S559" s="48"/>
      <c r="T559" s="48">
        <f t="shared" si="206"/>
        <v>0</v>
      </c>
    </row>
    <row r="560" spans="1:20" x14ac:dyDescent="0.2">
      <c r="B560" s="43">
        <v>8</v>
      </c>
      <c r="C560" s="85">
        <v>11500308</v>
      </c>
      <c r="D560" s="47" t="str">
        <f>+IF(G560="","",VLOOKUP('AFE DETAILED'!C560,'AVERAGE COST'!$B:$D,3,0))</f>
        <v>DAY</v>
      </c>
      <c r="E560" s="48">
        <f>+IF(C560="",0,VLOOKUP(C560,'AVERAGE COST'!$B$3:$E$995,4))</f>
        <v>0</v>
      </c>
      <c r="F560" s="47" t="s">
        <v>442</v>
      </c>
      <c r="G560" s="43">
        <v>115003</v>
      </c>
      <c r="H560" s="47" t="s">
        <v>433</v>
      </c>
      <c r="I560" s="155"/>
      <c r="J560" s="155"/>
      <c r="K560" s="48">
        <v>0</v>
      </c>
      <c r="L560" s="48">
        <v>0</v>
      </c>
      <c r="M560" s="237">
        <f>+IF(M4="n/a",0,$E$560*'INITIAL DATA'!C118)</f>
        <v>0</v>
      </c>
      <c r="N560" s="237">
        <f>+IF(N4="n/a",0,$E$560*'INITIAL DATA'!D118)</f>
        <v>0</v>
      </c>
      <c r="O560" s="237">
        <f>+IF(O4="n/a",0,$E$560*'INITIAL DATA'!E118)</f>
        <v>0</v>
      </c>
      <c r="P560" s="237">
        <f>+IF(P4="n/a",0,$E$560*'INITIAL DATA'!F118)</f>
        <v>0</v>
      </c>
      <c r="Q560" s="237">
        <f>+IF(Q4="n/a",0,$E$560*'INITIAL DATA'!G118)</f>
        <v>0</v>
      </c>
      <c r="R560" s="48">
        <f>+IF(R4="n/a",0,$E$560*'INITIAL DATA'!H118)</f>
        <v>0</v>
      </c>
      <c r="S560" s="48"/>
      <c r="T560" s="48">
        <f t="shared" si="206"/>
        <v>0</v>
      </c>
    </row>
    <row r="561" spans="1:20" x14ac:dyDescent="0.2">
      <c r="B561" s="43">
        <v>9</v>
      </c>
      <c r="C561" s="155"/>
      <c r="D561" s="265"/>
      <c r="E561" s="266"/>
      <c r="F561" s="265"/>
      <c r="G561" s="43">
        <v>115003</v>
      </c>
      <c r="H561" s="47" t="s">
        <v>433</v>
      </c>
      <c r="I561" s="155"/>
      <c r="J561" s="155"/>
      <c r="K561" s="269">
        <v>0</v>
      </c>
      <c r="L561" s="269">
        <v>0</v>
      </c>
      <c r="M561" s="267"/>
      <c r="N561" s="267"/>
      <c r="O561" s="267"/>
      <c r="P561" s="267"/>
      <c r="Q561" s="267"/>
      <c r="R561" s="266"/>
      <c r="S561" s="48"/>
      <c r="T561" s="48">
        <f t="shared" si="206"/>
        <v>0</v>
      </c>
    </row>
    <row r="562" spans="1:20" s="27" customFormat="1" x14ac:dyDescent="0.2">
      <c r="A562" s="28"/>
      <c r="B562" s="66" t="s">
        <v>32</v>
      </c>
      <c r="C562" s="67"/>
      <c r="D562" s="68"/>
      <c r="E562" s="92" t="s">
        <v>435</v>
      </c>
      <c r="F562" s="106"/>
      <c r="G562" s="67"/>
      <c r="H562" s="68"/>
      <c r="I562" s="69"/>
      <c r="J562" s="69"/>
      <c r="K562" s="49">
        <f>SUM(K553:K561)</f>
        <v>0</v>
      </c>
      <c r="L562" s="49">
        <f t="shared" ref="L562:T562" si="208">SUM(L553:L561)</f>
        <v>0</v>
      </c>
      <c r="M562" s="238">
        <f t="shared" si="208"/>
        <v>0</v>
      </c>
      <c r="N562" s="238">
        <f t="shared" si="208"/>
        <v>0</v>
      </c>
      <c r="O562" s="238">
        <f t="shared" si="208"/>
        <v>0</v>
      </c>
      <c r="P562" s="238">
        <f t="shared" si="208"/>
        <v>0</v>
      </c>
      <c r="Q562" s="238">
        <f t="shared" si="208"/>
        <v>0</v>
      </c>
      <c r="R562" s="49">
        <f t="shared" si="208"/>
        <v>0</v>
      </c>
      <c r="S562" s="49"/>
      <c r="T562" s="49">
        <f t="shared" si="208"/>
        <v>0</v>
      </c>
    </row>
    <row r="563" spans="1:20" s="27" customFormat="1" x14ac:dyDescent="0.2">
      <c r="A563" s="28"/>
      <c r="B563" s="66" t="s">
        <v>434</v>
      </c>
      <c r="C563" s="67"/>
      <c r="D563" s="68"/>
      <c r="E563" s="92" t="s">
        <v>444</v>
      </c>
      <c r="F563" s="106"/>
      <c r="G563" s="67"/>
      <c r="H563" s="68"/>
      <c r="I563" s="69"/>
      <c r="J563" s="69"/>
      <c r="K563" s="70"/>
      <c r="L563" s="70"/>
      <c r="M563" s="242"/>
      <c r="N563" s="242"/>
      <c r="O563" s="242"/>
      <c r="P563" s="242"/>
      <c r="Q563" s="242"/>
      <c r="R563" s="70"/>
      <c r="S563" s="70"/>
      <c r="T563" s="71"/>
    </row>
    <row r="564" spans="1:20" x14ac:dyDescent="0.2">
      <c r="B564" s="43">
        <v>1</v>
      </c>
      <c r="C564" s="85">
        <v>11500401</v>
      </c>
      <c r="D564" s="47" t="str">
        <f>+IF(G564="","",VLOOKUP('AFE DETAILED'!C564,'AVERAGE COST'!$B:$D,3,0))</f>
        <v>DAY</v>
      </c>
      <c r="E564" s="48">
        <f>+IF(C564="",0,VLOOKUP(C564,'AVERAGE COST'!$B$3:$E$995,4))</f>
        <v>0</v>
      </c>
      <c r="F564" s="47" t="s">
        <v>446</v>
      </c>
      <c r="G564" s="43">
        <v>115004</v>
      </c>
      <c r="H564" s="47" t="s">
        <v>444</v>
      </c>
      <c r="I564" s="155"/>
      <c r="J564" s="155"/>
      <c r="K564" s="48">
        <v>0</v>
      </c>
      <c r="L564" s="48">
        <v>0</v>
      </c>
      <c r="M564" s="237">
        <f>+IF(M4="n/a",0,$E$564*(M8+M9))</f>
        <v>0</v>
      </c>
      <c r="N564" s="237">
        <f t="shared" ref="N564:R564" si="209">+IF(N4="n/a",0,$E$564*(N8+N9))</f>
        <v>0</v>
      </c>
      <c r="O564" s="237">
        <f t="shared" si="209"/>
        <v>0</v>
      </c>
      <c r="P564" s="237">
        <f t="shared" si="209"/>
        <v>0</v>
      </c>
      <c r="Q564" s="237">
        <f t="shared" si="209"/>
        <v>0</v>
      </c>
      <c r="R564" s="48">
        <f t="shared" si="209"/>
        <v>0</v>
      </c>
      <c r="S564" s="48"/>
      <c r="T564" s="48">
        <f>SUM(K564:R564)</f>
        <v>0</v>
      </c>
    </row>
    <row r="565" spans="1:20" x14ac:dyDescent="0.2">
      <c r="B565" s="43">
        <v>2</v>
      </c>
      <c r="C565" s="85">
        <v>11500402</v>
      </c>
      <c r="D565" s="47" t="str">
        <f>+IF(G565="","",VLOOKUP('AFE DETAILED'!C565,'AVERAGE COST'!$B:$D,3,0))</f>
        <v>DAY</v>
      </c>
      <c r="E565" s="48">
        <f>+IF(C565="",0,VLOOKUP(C565,'AVERAGE COST'!$B$3:$E$995,4))</f>
        <v>0</v>
      </c>
      <c r="F565" s="47" t="s">
        <v>447</v>
      </c>
      <c r="G565" s="43">
        <v>115004</v>
      </c>
      <c r="H565" s="47" t="s">
        <v>444</v>
      </c>
      <c r="I565" s="155"/>
      <c r="J565" s="155"/>
      <c r="K565" s="48">
        <v>0</v>
      </c>
      <c r="L565" s="48">
        <v>0</v>
      </c>
      <c r="M565" s="237">
        <f>+IF(M4="n/a",0,$E$565*ROUNDUP(M8+M9,0))</f>
        <v>0</v>
      </c>
      <c r="N565" s="237">
        <f t="shared" ref="N565:R565" si="210">+IF(N4="n/a",0,$E$565*ROUNDUP(N8+N9,0))</f>
        <v>0</v>
      </c>
      <c r="O565" s="237">
        <f t="shared" si="210"/>
        <v>0</v>
      </c>
      <c r="P565" s="237">
        <f t="shared" si="210"/>
        <v>0</v>
      </c>
      <c r="Q565" s="237">
        <f t="shared" si="210"/>
        <v>0</v>
      </c>
      <c r="R565" s="48">
        <f t="shared" si="210"/>
        <v>0</v>
      </c>
      <c r="S565" s="48"/>
      <c r="T565" s="48">
        <f t="shared" ref="T565:T570" si="211">SUM(K565:R565)</f>
        <v>0</v>
      </c>
    </row>
    <row r="566" spans="1:20" x14ac:dyDescent="0.2">
      <c r="B566" s="43">
        <v>3</v>
      </c>
      <c r="C566" s="85">
        <v>11500403</v>
      </c>
      <c r="D566" s="47" t="str">
        <f>+IF(G566="","",VLOOKUP('AFE DETAILED'!C566,'AVERAGE COST'!$B:$D,3,0))</f>
        <v>DAY</v>
      </c>
      <c r="E566" s="48">
        <f>+IF(C566="",0,VLOOKUP(C566,'AVERAGE COST'!$B$3:$E$995,4))</f>
        <v>0</v>
      </c>
      <c r="F566" s="47" t="s">
        <v>448</v>
      </c>
      <c r="G566" s="43">
        <v>115004</v>
      </c>
      <c r="H566" s="47" t="s">
        <v>444</v>
      </c>
      <c r="I566" s="155"/>
      <c r="J566" s="155"/>
      <c r="K566" s="48">
        <v>0</v>
      </c>
      <c r="L566" s="48">
        <v>0</v>
      </c>
      <c r="M566" s="237">
        <f>+IF(M4="n/a",0,$E$566*ROUNDUP(M8+M9,0))</f>
        <v>0</v>
      </c>
      <c r="N566" s="237">
        <v>0</v>
      </c>
      <c r="O566" s="237">
        <v>0</v>
      </c>
      <c r="P566" s="237">
        <v>0</v>
      </c>
      <c r="Q566" s="237">
        <v>0</v>
      </c>
      <c r="R566" s="48">
        <v>0</v>
      </c>
      <c r="S566" s="48"/>
      <c r="T566" s="48">
        <f t="shared" si="211"/>
        <v>0</v>
      </c>
    </row>
    <row r="567" spans="1:20" x14ac:dyDescent="0.2">
      <c r="B567" s="43">
        <v>4</v>
      </c>
      <c r="C567" s="85">
        <v>11500404</v>
      </c>
      <c r="D567" s="47" t="str">
        <f>+IF(G567="","",VLOOKUP('AFE DETAILED'!C567,'AVERAGE COST'!$B:$D,3,0))</f>
        <v>DAY</v>
      </c>
      <c r="E567" s="48">
        <f>+IF(C567="",0,VLOOKUP(C567,'AVERAGE COST'!$B$3:$E$995,4))</f>
        <v>0</v>
      </c>
      <c r="F567" s="47" t="s">
        <v>449</v>
      </c>
      <c r="G567" s="43">
        <v>115004</v>
      </c>
      <c r="H567" s="47" t="s">
        <v>444</v>
      </c>
      <c r="I567" s="155"/>
      <c r="J567" s="155"/>
      <c r="K567" s="48">
        <v>0</v>
      </c>
      <c r="L567" s="48">
        <v>0</v>
      </c>
      <c r="M567" s="237">
        <f>+IF(M4="n/a",0,$E$567*ROUNDUP(M8+M9,0))</f>
        <v>0</v>
      </c>
      <c r="N567" s="237">
        <f t="shared" ref="N567:R567" si="212">+IF(N4="n/a",0,$E$567*ROUNDUP(N8+N9,0))</f>
        <v>0</v>
      </c>
      <c r="O567" s="237">
        <f t="shared" si="212"/>
        <v>0</v>
      </c>
      <c r="P567" s="237">
        <f t="shared" si="212"/>
        <v>0</v>
      </c>
      <c r="Q567" s="237">
        <f t="shared" si="212"/>
        <v>0</v>
      </c>
      <c r="R567" s="48">
        <f t="shared" si="212"/>
        <v>0</v>
      </c>
      <c r="S567" s="48"/>
      <c r="T567" s="48">
        <f t="shared" si="211"/>
        <v>0</v>
      </c>
    </row>
    <row r="568" spans="1:20" x14ac:dyDescent="0.2">
      <c r="B568" s="43">
        <v>5</v>
      </c>
      <c r="C568" s="85">
        <v>11500405</v>
      </c>
      <c r="D568" s="47" t="str">
        <f>+IF(G568="","",VLOOKUP('AFE DETAILED'!C568,'AVERAGE COST'!$B:$D,3,0))</f>
        <v>DAY</v>
      </c>
      <c r="E568" s="48">
        <f>+IF(C568="",0,VLOOKUP(C568,'AVERAGE COST'!$B$3:$E$995,4))</f>
        <v>0</v>
      </c>
      <c r="F568" s="47" t="s">
        <v>450</v>
      </c>
      <c r="G568" s="43">
        <v>115004</v>
      </c>
      <c r="H568" s="47" t="s">
        <v>444</v>
      </c>
      <c r="I568" s="155"/>
      <c r="J568" s="155"/>
      <c r="K568" s="48">
        <v>0</v>
      </c>
      <c r="L568" s="48">
        <v>0</v>
      </c>
      <c r="M568" s="237">
        <f>+IF(M4="n/a",0,$E$568*ROUNDUP(M8+M9,0))</f>
        <v>0</v>
      </c>
      <c r="N568" s="237">
        <f t="shared" ref="N568:R568" si="213">+IF(N4="n/a",0,$E$568*ROUNDUP(N8+N9,0))</f>
        <v>0</v>
      </c>
      <c r="O568" s="237">
        <f t="shared" si="213"/>
        <v>0</v>
      </c>
      <c r="P568" s="237">
        <f t="shared" si="213"/>
        <v>0</v>
      </c>
      <c r="Q568" s="237">
        <f t="shared" si="213"/>
        <v>0</v>
      </c>
      <c r="R568" s="48">
        <f t="shared" si="213"/>
        <v>0</v>
      </c>
      <c r="S568" s="48"/>
      <c r="T568" s="48">
        <f t="shared" si="211"/>
        <v>0</v>
      </c>
    </row>
    <row r="569" spans="1:20" x14ac:dyDescent="0.2">
      <c r="B569" s="43">
        <v>6</v>
      </c>
      <c r="C569" s="85">
        <v>11500406</v>
      </c>
      <c r="D569" s="47" t="str">
        <f>+IF(G569="","",VLOOKUP('AFE DETAILED'!C569,'AVERAGE COST'!$B:$D,3,0))</f>
        <v>GLOBAL</v>
      </c>
      <c r="E569" s="48">
        <f>+IF(C569="",0,VLOOKUP(C569,'AVERAGE COST'!$B$3:$E$995,4))</f>
        <v>0</v>
      </c>
      <c r="F569" s="47" t="s">
        <v>451</v>
      </c>
      <c r="G569" s="43">
        <v>115004</v>
      </c>
      <c r="H569" s="47" t="s">
        <v>444</v>
      </c>
      <c r="I569" s="155"/>
      <c r="J569" s="155"/>
      <c r="K569" s="48">
        <v>0</v>
      </c>
      <c r="L569" s="48">
        <v>0</v>
      </c>
      <c r="M569" s="237">
        <f>+IF(M4="n/a",0,($E$569/$T$10)*(M8+M9))</f>
        <v>0</v>
      </c>
      <c r="N569" s="237">
        <f t="shared" ref="N569:R569" si="214">+IF(N4="n/a",0,($E$569/$T$10)*(N8+N9))</f>
        <v>0</v>
      </c>
      <c r="O569" s="237">
        <f t="shared" si="214"/>
        <v>0</v>
      </c>
      <c r="P569" s="237">
        <f t="shared" si="214"/>
        <v>0</v>
      </c>
      <c r="Q569" s="237">
        <f t="shared" si="214"/>
        <v>0</v>
      </c>
      <c r="R569" s="48">
        <f t="shared" si="214"/>
        <v>0</v>
      </c>
      <c r="S569" s="48"/>
      <c r="T569" s="48">
        <f t="shared" si="211"/>
        <v>0</v>
      </c>
    </row>
    <row r="570" spans="1:20" x14ac:dyDescent="0.2">
      <c r="B570" s="43">
        <v>7</v>
      </c>
      <c r="C570" s="155"/>
      <c r="D570" s="265"/>
      <c r="E570" s="266"/>
      <c r="F570" s="265"/>
      <c r="G570" s="43">
        <v>115004</v>
      </c>
      <c r="H570" s="47" t="s">
        <v>444</v>
      </c>
      <c r="I570" s="155"/>
      <c r="J570" s="155"/>
      <c r="K570" s="269">
        <v>0</v>
      </c>
      <c r="L570" s="269">
        <v>0</v>
      </c>
      <c r="M570" s="267"/>
      <c r="N570" s="267"/>
      <c r="O570" s="267"/>
      <c r="P570" s="267"/>
      <c r="Q570" s="267"/>
      <c r="R570" s="266"/>
      <c r="S570" s="48"/>
      <c r="T570" s="48">
        <f t="shared" si="211"/>
        <v>0</v>
      </c>
    </row>
    <row r="571" spans="1:20" s="27" customFormat="1" x14ac:dyDescent="0.2">
      <c r="A571" s="28"/>
      <c r="B571" s="66" t="s">
        <v>32</v>
      </c>
      <c r="C571" s="67"/>
      <c r="D571" s="68"/>
      <c r="E571" s="92" t="s">
        <v>445</v>
      </c>
      <c r="F571" s="106"/>
      <c r="G571" s="67"/>
      <c r="H571" s="68"/>
      <c r="I571" s="69"/>
      <c r="J571" s="69"/>
      <c r="K571" s="49">
        <f>SUM(K564:K570)</f>
        <v>0</v>
      </c>
      <c r="L571" s="49">
        <f t="shared" ref="L571:T571" si="215">SUM(L564:L570)</f>
        <v>0</v>
      </c>
      <c r="M571" s="238">
        <f t="shared" si="215"/>
        <v>0</v>
      </c>
      <c r="N571" s="238">
        <f t="shared" si="215"/>
        <v>0</v>
      </c>
      <c r="O571" s="238">
        <f t="shared" si="215"/>
        <v>0</v>
      </c>
      <c r="P571" s="238">
        <f t="shared" si="215"/>
        <v>0</v>
      </c>
      <c r="Q571" s="238">
        <f t="shared" si="215"/>
        <v>0</v>
      </c>
      <c r="R571" s="49">
        <f t="shared" si="215"/>
        <v>0</v>
      </c>
      <c r="S571" s="49"/>
      <c r="T571" s="49">
        <f t="shared" si="215"/>
        <v>0</v>
      </c>
    </row>
    <row r="572" spans="1:20" s="27" customFormat="1" x14ac:dyDescent="0.2">
      <c r="A572" s="28"/>
      <c r="B572" s="66" t="s">
        <v>453</v>
      </c>
      <c r="C572" s="67"/>
      <c r="D572" s="68"/>
      <c r="E572" s="92" t="s">
        <v>452</v>
      </c>
      <c r="F572" s="106"/>
      <c r="G572" s="67"/>
      <c r="H572" s="68"/>
      <c r="I572" s="69"/>
      <c r="J572" s="69"/>
      <c r="K572" s="70"/>
      <c r="L572" s="70"/>
      <c r="M572" s="242"/>
      <c r="N572" s="242"/>
      <c r="O572" s="242"/>
      <c r="P572" s="242"/>
      <c r="Q572" s="242"/>
      <c r="R572" s="70"/>
      <c r="S572" s="70"/>
      <c r="T572" s="71"/>
    </row>
    <row r="573" spans="1:20" x14ac:dyDescent="0.2">
      <c r="B573" s="43">
        <v>1</v>
      </c>
      <c r="C573" s="85">
        <v>11500501</v>
      </c>
      <c r="D573" s="47" t="str">
        <f>+IF(G573="","",VLOOKUP('AFE DETAILED'!C573,'AVERAGE COST'!$B:$D,3,0))</f>
        <v>MONTH</v>
      </c>
      <c r="E573" s="48">
        <f>+IF(C573="",0,VLOOKUP(C573,'AVERAGE COST'!$B$3:$E$995,4))</f>
        <v>0</v>
      </c>
      <c r="F573" s="47" t="s">
        <v>454</v>
      </c>
      <c r="G573" s="43">
        <v>115005</v>
      </c>
      <c r="H573" s="47" t="s">
        <v>452</v>
      </c>
      <c r="I573" s="155"/>
      <c r="J573" s="155"/>
      <c r="K573" s="48">
        <v>0</v>
      </c>
      <c r="L573" s="48">
        <v>0</v>
      </c>
      <c r="M573" s="237">
        <f>+IF(M4="n/a",0,($E$573/30)*ROUNDUP(M8+M9,0))</f>
        <v>0</v>
      </c>
      <c r="N573" s="237">
        <f t="shared" ref="N573:R573" si="216">+IF(N4="n/a",0,($E$573/30)*ROUNDUP(N8+N9,0))</f>
        <v>0</v>
      </c>
      <c r="O573" s="237">
        <f t="shared" si="216"/>
        <v>0</v>
      </c>
      <c r="P573" s="237">
        <f t="shared" si="216"/>
        <v>0</v>
      </c>
      <c r="Q573" s="237">
        <f t="shared" si="216"/>
        <v>0</v>
      </c>
      <c r="R573" s="48">
        <f t="shared" si="216"/>
        <v>0</v>
      </c>
      <c r="S573" s="48"/>
      <c r="T573" s="48">
        <f>SUM(K573:R573)</f>
        <v>0</v>
      </c>
    </row>
    <row r="574" spans="1:20" x14ac:dyDescent="0.2">
      <c r="B574" s="43">
        <v>2</v>
      </c>
      <c r="C574" s="85">
        <v>11500502</v>
      </c>
      <c r="D574" s="47" t="str">
        <f>+IF(G574="","",VLOOKUP('AFE DETAILED'!C574,'AVERAGE COST'!$B:$D,3,0))</f>
        <v>MONTH</v>
      </c>
      <c r="E574" s="48">
        <f>+IF(C574="",0,VLOOKUP(C574,'AVERAGE COST'!$B$3:$E$995,4))</f>
        <v>0</v>
      </c>
      <c r="F574" s="47" t="s">
        <v>455</v>
      </c>
      <c r="G574" s="43">
        <v>115005</v>
      </c>
      <c r="H574" s="47" t="s">
        <v>452</v>
      </c>
      <c r="I574" s="155"/>
      <c r="J574" s="155"/>
      <c r="K574" s="48">
        <v>0</v>
      </c>
      <c r="L574" s="48">
        <v>0</v>
      </c>
      <c r="M574" s="237">
        <f>+IF(M4="n/a",0,($E$574/30)*ROUNDUP(M8+M9,0))</f>
        <v>0</v>
      </c>
      <c r="N574" s="237">
        <f t="shared" ref="N574:R574" si="217">+IF(N4="n/a",0,($E$574/30)*ROUNDUP(N8+N9,0))</f>
        <v>0</v>
      </c>
      <c r="O574" s="237">
        <f t="shared" si="217"/>
        <v>0</v>
      </c>
      <c r="P574" s="237">
        <f t="shared" si="217"/>
        <v>0</v>
      </c>
      <c r="Q574" s="237">
        <f t="shared" si="217"/>
        <v>0</v>
      </c>
      <c r="R574" s="48">
        <f t="shared" si="217"/>
        <v>0</v>
      </c>
      <c r="S574" s="48"/>
      <c r="T574" s="48">
        <f t="shared" ref="T574:T581" si="218">SUM(K574:R574)</f>
        <v>0</v>
      </c>
    </row>
    <row r="575" spans="1:20" x14ac:dyDescent="0.2">
      <c r="B575" s="43">
        <v>3</v>
      </c>
      <c r="C575" s="85">
        <v>11500503</v>
      </c>
      <c r="D575" s="47" t="str">
        <f>+IF(G575="","",VLOOKUP('AFE DETAILED'!C575,'AVERAGE COST'!$B:$D,3,0))</f>
        <v>DAY</v>
      </c>
      <c r="E575" s="48">
        <f>+IF(C575="",0,VLOOKUP(C575,'AVERAGE COST'!$B$3:$E$995,4))</f>
        <v>0</v>
      </c>
      <c r="F575" s="47" t="s">
        <v>456</v>
      </c>
      <c r="G575" s="43">
        <v>115005</v>
      </c>
      <c r="H575" s="47" t="s">
        <v>452</v>
      </c>
      <c r="I575" s="155"/>
      <c r="J575" s="155"/>
      <c r="K575" s="48">
        <v>0</v>
      </c>
      <c r="L575" s="48">
        <v>0</v>
      </c>
      <c r="M575" s="237">
        <f>+IF(M4="n/a",0,$E$575*ROUNDUP(M8+M9,0))</f>
        <v>0</v>
      </c>
      <c r="N575" s="237">
        <f t="shared" ref="N575:R575" si="219">+IF(N4="n/a",0,$E$575*ROUNDUP(N8+N9,0))</f>
        <v>0</v>
      </c>
      <c r="O575" s="237">
        <f t="shared" si="219"/>
        <v>0</v>
      </c>
      <c r="P575" s="237">
        <f t="shared" si="219"/>
        <v>0</v>
      </c>
      <c r="Q575" s="237">
        <f t="shared" si="219"/>
        <v>0</v>
      </c>
      <c r="R575" s="48">
        <f t="shared" si="219"/>
        <v>0</v>
      </c>
      <c r="S575" s="48"/>
      <c r="T575" s="48">
        <f t="shared" si="218"/>
        <v>0</v>
      </c>
    </row>
    <row r="576" spans="1:20" x14ac:dyDescent="0.2">
      <c r="B576" s="43">
        <v>4</v>
      </c>
      <c r="C576" s="155"/>
      <c r="D576" s="265"/>
      <c r="E576" s="266"/>
      <c r="F576" s="265"/>
      <c r="G576" s="43">
        <v>115005</v>
      </c>
      <c r="H576" s="47" t="s">
        <v>452</v>
      </c>
      <c r="I576" s="155"/>
      <c r="J576" s="155"/>
      <c r="K576" s="269">
        <v>0</v>
      </c>
      <c r="L576" s="269">
        <v>0</v>
      </c>
      <c r="M576" s="267"/>
      <c r="N576" s="267"/>
      <c r="O576" s="267"/>
      <c r="P576" s="267"/>
      <c r="Q576" s="267"/>
      <c r="R576" s="266"/>
      <c r="S576" s="48"/>
      <c r="T576" s="48">
        <f t="shared" si="218"/>
        <v>0</v>
      </c>
    </row>
    <row r="577" spans="1:20" x14ac:dyDescent="0.2">
      <c r="B577" s="43">
        <v>5</v>
      </c>
      <c r="C577" s="155"/>
      <c r="D577" s="265"/>
      <c r="E577" s="266"/>
      <c r="F577" s="265"/>
      <c r="G577" s="43">
        <v>115005</v>
      </c>
      <c r="H577" s="47" t="s">
        <v>452</v>
      </c>
      <c r="I577" s="155"/>
      <c r="J577" s="155"/>
      <c r="K577" s="269">
        <v>0</v>
      </c>
      <c r="L577" s="269">
        <v>0</v>
      </c>
      <c r="M577" s="267"/>
      <c r="N577" s="267"/>
      <c r="O577" s="267"/>
      <c r="P577" s="267"/>
      <c r="Q577" s="267"/>
      <c r="R577" s="266"/>
      <c r="S577" s="48"/>
      <c r="T577" s="48">
        <f t="shared" si="218"/>
        <v>0</v>
      </c>
    </row>
    <row r="578" spans="1:20" x14ac:dyDescent="0.2">
      <c r="B578" s="43">
        <v>6</v>
      </c>
      <c r="C578" s="155"/>
      <c r="D578" s="265"/>
      <c r="E578" s="266"/>
      <c r="F578" s="265"/>
      <c r="G578" s="43">
        <v>115005</v>
      </c>
      <c r="H578" s="47" t="s">
        <v>452</v>
      </c>
      <c r="I578" s="155"/>
      <c r="J578" s="155"/>
      <c r="K578" s="269">
        <v>0</v>
      </c>
      <c r="L578" s="269">
        <v>0</v>
      </c>
      <c r="M578" s="267"/>
      <c r="N578" s="267"/>
      <c r="O578" s="267"/>
      <c r="P578" s="267"/>
      <c r="Q578" s="267"/>
      <c r="R578" s="266"/>
      <c r="S578" s="48"/>
      <c r="T578" s="48">
        <f t="shared" si="218"/>
        <v>0</v>
      </c>
    </row>
    <row r="579" spans="1:20" x14ac:dyDescent="0.2">
      <c r="B579" s="43">
        <v>7</v>
      </c>
      <c r="C579" s="155"/>
      <c r="D579" s="265"/>
      <c r="E579" s="266"/>
      <c r="F579" s="265"/>
      <c r="G579" s="43">
        <v>115005</v>
      </c>
      <c r="H579" s="47" t="s">
        <v>452</v>
      </c>
      <c r="I579" s="155"/>
      <c r="J579" s="155"/>
      <c r="K579" s="269">
        <v>0</v>
      </c>
      <c r="L579" s="269">
        <v>0</v>
      </c>
      <c r="M579" s="267"/>
      <c r="N579" s="267"/>
      <c r="O579" s="267"/>
      <c r="P579" s="267"/>
      <c r="Q579" s="267"/>
      <c r="R579" s="266"/>
      <c r="S579" s="48"/>
      <c r="T579" s="48">
        <f t="shared" si="218"/>
        <v>0</v>
      </c>
    </row>
    <row r="580" spans="1:20" x14ac:dyDescent="0.2">
      <c r="B580" s="43">
        <v>8</v>
      </c>
      <c r="C580" s="155"/>
      <c r="D580" s="265"/>
      <c r="E580" s="266"/>
      <c r="F580" s="265"/>
      <c r="G580" s="43">
        <v>115005</v>
      </c>
      <c r="H580" s="47" t="s">
        <v>452</v>
      </c>
      <c r="I580" s="155"/>
      <c r="J580" s="155"/>
      <c r="K580" s="269">
        <v>0</v>
      </c>
      <c r="L580" s="269">
        <v>0</v>
      </c>
      <c r="M580" s="267"/>
      <c r="N580" s="267"/>
      <c r="O580" s="267"/>
      <c r="P580" s="267"/>
      <c r="Q580" s="267"/>
      <c r="R580" s="266"/>
      <c r="S580" s="48"/>
      <c r="T580" s="48">
        <f t="shared" si="218"/>
        <v>0</v>
      </c>
    </row>
    <row r="581" spans="1:20" x14ac:dyDescent="0.2">
      <c r="B581" s="43">
        <v>9</v>
      </c>
      <c r="C581" s="155"/>
      <c r="D581" s="265"/>
      <c r="E581" s="266"/>
      <c r="F581" s="265"/>
      <c r="G581" s="43">
        <v>115005</v>
      </c>
      <c r="H581" s="47" t="s">
        <v>452</v>
      </c>
      <c r="I581" s="155"/>
      <c r="J581" s="155"/>
      <c r="K581" s="269">
        <v>0</v>
      </c>
      <c r="L581" s="269">
        <v>0</v>
      </c>
      <c r="M581" s="267"/>
      <c r="N581" s="267"/>
      <c r="O581" s="267"/>
      <c r="P581" s="267"/>
      <c r="Q581" s="267"/>
      <c r="R581" s="266"/>
      <c r="S581" s="48"/>
      <c r="T581" s="48">
        <f t="shared" si="218"/>
        <v>0</v>
      </c>
    </row>
    <row r="582" spans="1:20" s="27" customFormat="1" x14ac:dyDescent="0.2">
      <c r="A582" s="28"/>
      <c r="B582" s="66" t="s">
        <v>32</v>
      </c>
      <c r="C582" s="67"/>
      <c r="D582" s="68"/>
      <c r="E582" s="92" t="s">
        <v>457</v>
      </c>
      <c r="F582" s="106"/>
      <c r="G582" s="67"/>
      <c r="H582" s="68"/>
      <c r="I582" s="69"/>
      <c r="J582" s="69"/>
      <c r="K582" s="49">
        <f>SUM(K573:K581)</f>
        <v>0</v>
      </c>
      <c r="L582" s="49">
        <f t="shared" ref="L582:R582" si="220">SUM(L573:L581)</f>
        <v>0</v>
      </c>
      <c r="M582" s="238">
        <f t="shared" si="220"/>
        <v>0</v>
      </c>
      <c r="N582" s="238">
        <f t="shared" si="220"/>
        <v>0</v>
      </c>
      <c r="O582" s="238">
        <f t="shared" si="220"/>
        <v>0</v>
      </c>
      <c r="P582" s="238">
        <f t="shared" si="220"/>
        <v>0</v>
      </c>
      <c r="Q582" s="238">
        <f t="shared" si="220"/>
        <v>0</v>
      </c>
      <c r="R582" s="49">
        <f t="shared" si="220"/>
        <v>0</v>
      </c>
      <c r="S582" s="49"/>
      <c r="T582" s="49">
        <f t="shared" ref="T582" si="221">SUM(T573:T581)</f>
        <v>0</v>
      </c>
    </row>
    <row r="583" spans="1:20" s="27" customFormat="1" x14ac:dyDescent="0.2">
      <c r="A583" s="28"/>
      <c r="B583" s="66" t="s">
        <v>458</v>
      </c>
      <c r="C583" s="67"/>
      <c r="D583" s="68"/>
      <c r="E583" s="92" t="s">
        <v>459</v>
      </c>
      <c r="F583" s="106"/>
      <c r="G583" s="67"/>
      <c r="H583" s="68"/>
      <c r="I583" s="69"/>
      <c r="J583" s="69"/>
      <c r="K583" s="70"/>
      <c r="L583" s="70"/>
      <c r="M583" s="242"/>
      <c r="N583" s="242"/>
      <c r="O583" s="242"/>
      <c r="P583" s="242"/>
      <c r="Q583" s="242"/>
      <c r="R583" s="70"/>
      <c r="S583" s="70"/>
      <c r="T583" s="71"/>
    </row>
    <row r="584" spans="1:20" x14ac:dyDescent="0.2">
      <c r="B584" s="43">
        <v>1</v>
      </c>
      <c r="C584" s="85">
        <v>11500601</v>
      </c>
      <c r="D584" s="47" t="str">
        <f>+IF(G584="","",VLOOKUP('AFE DETAILED'!C584,'AVERAGE COST'!$B:$D,3,0))</f>
        <v>MONTH</v>
      </c>
      <c r="E584" s="48">
        <f>+IF(C584="",0,VLOOKUP(C584,'AVERAGE COST'!$B$3:$E$995,4))</f>
        <v>0</v>
      </c>
      <c r="F584" s="47" t="s">
        <v>462</v>
      </c>
      <c r="G584" s="43">
        <v>115006</v>
      </c>
      <c r="H584" s="47" t="s">
        <v>459</v>
      </c>
      <c r="I584" s="155"/>
      <c r="J584" s="155"/>
      <c r="K584" s="48">
        <v>0</v>
      </c>
      <c r="L584" s="48">
        <v>0</v>
      </c>
      <c r="M584" s="237">
        <f>+IF(M4="n/a",0,($E$584/30)*ROUNDUP(M8+M9,0))</f>
        <v>0</v>
      </c>
      <c r="N584" s="237">
        <f t="shared" ref="N584:R584" si="222">+IF(N4="n/a",0,($E$584/30)*ROUNDUP(N8+N9,0))</f>
        <v>0</v>
      </c>
      <c r="O584" s="237">
        <f t="shared" si="222"/>
        <v>0</v>
      </c>
      <c r="P584" s="237">
        <f t="shared" si="222"/>
        <v>0</v>
      </c>
      <c r="Q584" s="237">
        <f t="shared" si="222"/>
        <v>0</v>
      </c>
      <c r="R584" s="48">
        <f t="shared" si="222"/>
        <v>0</v>
      </c>
      <c r="S584" s="48"/>
      <c r="T584" s="48">
        <f>SUM(K584:R584)</f>
        <v>0</v>
      </c>
    </row>
    <row r="585" spans="1:20" x14ac:dyDescent="0.2">
      <c r="B585" s="43">
        <v>2</v>
      </c>
      <c r="C585" s="155"/>
      <c r="D585" s="265"/>
      <c r="E585" s="266"/>
      <c r="F585" s="265"/>
      <c r="G585" s="43">
        <v>115006</v>
      </c>
      <c r="H585" s="47" t="s">
        <v>459</v>
      </c>
      <c r="I585" s="155"/>
      <c r="J585" s="155"/>
      <c r="K585" s="269">
        <v>0</v>
      </c>
      <c r="L585" s="269">
        <v>0</v>
      </c>
      <c r="M585" s="267"/>
      <c r="N585" s="267"/>
      <c r="O585" s="267"/>
      <c r="P585" s="267"/>
      <c r="Q585" s="267"/>
      <c r="R585" s="266"/>
      <c r="S585" s="48"/>
      <c r="T585" s="48">
        <f t="shared" ref="T585:T586" si="223">SUM(K585:R585)</f>
        <v>0</v>
      </c>
    </row>
    <row r="586" spans="1:20" x14ac:dyDescent="0.2">
      <c r="B586" s="43">
        <v>3</v>
      </c>
      <c r="C586" s="155"/>
      <c r="D586" s="265"/>
      <c r="E586" s="266"/>
      <c r="F586" s="265"/>
      <c r="G586" s="43">
        <v>115006</v>
      </c>
      <c r="H586" s="47" t="s">
        <v>459</v>
      </c>
      <c r="I586" s="155"/>
      <c r="J586" s="155"/>
      <c r="K586" s="269">
        <v>0</v>
      </c>
      <c r="L586" s="269">
        <v>0</v>
      </c>
      <c r="M586" s="267"/>
      <c r="N586" s="267"/>
      <c r="O586" s="267"/>
      <c r="P586" s="267"/>
      <c r="Q586" s="267"/>
      <c r="R586" s="266"/>
      <c r="S586" s="48"/>
      <c r="T586" s="48">
        <f t="shared" si="223"/>
        <v>0</v>
      </c>
    </row>
    <row r="587" spans="1:20" s="27" customFormat="1" x14ac:dyDescent="0.2">
      <c r="A587" s="28"/>
      <c r="B587" s="66" t="s">
        <v>32</v>
      </c>
      <c r="C587" s="67"/>
      <c r="D587" s="68"/>
      <c r="E587" s="92" t="s">
        <v>516</v>
      </c>
      <c r="F587" s="106"/>
      <c r="G587" s="67"/>
      <c r="H587" s="68"/>
      <c r="I587" s="69"/>
      <c r="J587" s="69"/>
      <c r="K587" s="49">
        <f>SUM(K584:K586)</f>
        <v>0</v>
      </c>
      <c r="L587" s="49">
        <f t="shared" ref="L587:T587" si="224">SUM(L584:L586)</f>
        <v>0</v>
      </c>
      <c r="M587" s="238">
        <f t="shared" si="224"/>
        <v>0</v>
      </c>
      <c r="N587" s="238">
        <f t="shared" si="224"/>
        <v>0</v>
      </c>
      <c r="O587" s="238">
        <f t="shared" si="224"/>
        <v>0</v>
      </c>
      <c r="P587" s="238">
        <f t="shared" si="224"/>
        <v>0</v>
      </c>
      <c r="Q587" s="238">
        <f t="shared" si="224"/>
        <v>0</v>
      </c>
      <c r="R587" s="49">
        <f t="shared" si="224"/>
        <v>0</v>
      </c>
      <c r="S587" s="49"/>
      <c r="T587" s="49">
        <f t="shared" si="224"/>
        <v>0</v>
      </c>
    </row>
    <row r="588" spans="1:20" s="27" customFormat="1" x14ac:dyDescent="0.2">
      <c r="A588" s="28"/>
      <c r="B588" s="66" t="s">
        <v>460</v>
      </c>
      <c r="C588" s="67"/>
      <c r="D588" s="68"/>
      <c r="E588" s="92" t="s">
        <v>579</v>
      </c>
      <c r="F588" s="106"/>
      <c r="G588" s="67"/>
      <c r="H588" s="68"/>
      <c r="I588" s="69"/>
      <c r="J588" s="69"/>
      <c r="K588" s="70"/>
      <c r="L588" s="70"/>
      <c r="M588" s="242"/>
      <c r="N588" s="242"/>
      <c r="O588" s="242"/>
      <c r="P588" s="242"/>
      <c r="Q588" s="242"/>
      <c r="R588" s="70"/>
      <c r="S588" s="70"/>
      <c r="T588" s="71"/>
    </row>
    <row r="589" spans="1:20" x14ac:dyDescent="0.2">
      <c r="B589" s="43">
        <v>1</v>
      </c>
      <c r="C589" s="43">
        <v>11600101</v>
      </c>
      <c r="D589" s="47" t="str">
        <f>+IF(G589="","",VLOOKUP('AFE DETAILED'!C589,'AVERAGE COST'!$B:$D,3,0))</f>
        <v>FT</v>
      </c>
      <c r="E589" s="48">
        <f>+IF(C589="",0,VLOOKUP(C589,'AVERAGE COST'!$B$3:$E$995,4))</f>
        <v>0</v>
      </c>
      <c r="F589" s="47" t="s">
        <v>468</v>
      </c>
      <c r="G589" s="43">
        <v>116001</v>
      </c>
      <c r="H589" s="47" t="s">
        <v>470</v>
      </c>
      <c r="I589" s="155"/>
      <c r="J589" s="155"/>
      <c r="K589" s="48">
        <v>0</v>
      </c>
      <c r="L589" s="48">
        <v>0</v>
      </c>
      <c r="M589" s="237">
        <f>+IF(M4="N/A",0,M11*$E$589)</f>
        <v>0</v>
      </c>
      <c r="N589" s="237">
        <f t="shared" ref="N589:Q589" si="225">+IF(N4="N/A",0,N11*$E$589)</f>
        <v>0</v>
      </c>
      <c r="O589" s="237">
        <f t="shared" si="225"/>
        <v>0</v>
      </c>
      <c r="P589" s="237">
        <f t="shared" si="225"/>
        <v>0</v>
      </c>
      <c r="Q589" s="237">
        <f t="shared" si="225"/>
        <v>0</v>
      </c>
      <c r="R589" s="48">
        <v>0</v>
      </c>
      <c r="S589" s="48"/>
      <c r="T589" s="48">
        <f>SUM(K589:R589)</f>
        <v>0</v>
      </c>
    </row>
    <row r="590" spans="1:20" x14ac:dyDescent="0.2">
      <c r="B590" s="43">
        <v>2</v>
      </c>
      <c r="C590" s="43">
        <v>11600102</v>
      </c>
      <c r="D590" s="47" t="str">
        <f>+IF(G590="","",VLOOKUP('AFE DETAILED'!C590,'AVERAGE COST'!$B:$D,3,0))</f>
        <v>GLOBAL</v>
      </c>
      <c r="E590" s="48">
        <f>+IF(C590="",0,VLOOKUP(C590,'AVERAGE COST'!$B$3:$E$995,4))</f>
        <v>0</v>
      </c>
      <c r="F590" s="47" t="s">
        <v>469</v>
      </c>
      <c r="G590" s="43">
        <v>116001</v>
      </c>
      <c r="H590" s="47" t="s">
        <v>470</v>
      </c>
      <c r="I590" s="155"/>
      <c r="J590" s="155"/>
      <c r="K590" s="48">
        <v>0</v>
      </c>
      <c r="L590" s="48">
        <v>0</v>
      </c>
      <c r="M590" s="237">
        <f>+IF(M4="n/a",0,'INITIAL DATA'!C119)</f>
        <v>0</v>
      </c>
      <c r="N590" s="237">
        <f>+IF(N4="n/a",0,'INITIAL DATA'!D119)</f>
        <v>0</v>
      </c>
      <c r="O590" s="237">
        <f>+IF(O4="n/a",0,'INITIAL DATA'!E119)</f>
        <v>0</v>
      </c>
      <c r="P590" s="237">
        <f>+IF(P4="n/a",0,'INITIAL DATA'!F119)</f>
        <v>0</v>
      </c>
      <c r="Q590" s="237">
        <f>+IF(Q4="n/a",0,'INITIAL DATA'!G119)</f>
        <v>0</v>
      </c>
      <c r="R590" s="48">
        <f>+IF(R4="n/a",0,'INITIAL DATA'!H119)</f>
        <v>0</v>
      </c>
      <c r="S590" s="48"/>
      <c r="T590" s="48">
        <f t="shared" ref="T590:T591" si="226">SUM(K590:R590)</f>
        <v>0</v>
      </c>
    </row>
    <row r="591" spans="1:20" x14ac:dyDescent="0.2">
      <c r="B591" s="43">
        <v>3</v>
      </c>
      <c r="C591" s="155"/>
      <c r="D591" s="265"/>
      <c r="E591" s="266"/>
      <c r="F591" s="265"/>
      <c r="G591" s="43">
        <v>116001</v>
      </c>
      <c r="H591" s="47" t="s">
        <v>470</v>
      </c>
      <c r="I591" s="155"/>
      <c r="J591" s="155"/>
      <c r="K591" s="269">
        <v>0</v>
      </c>
      <c r="L591" s="269">
        <v>0</v>
      </c>
      <c r="M591" s="267"/>
      <c r="N591" s="267"/>
      <c r="O591" s="267"/>
      <c r="P591" s="267"/>
      <c r="Q591" s="267"/>
      <c r="R591" s="266"/>
      <c r="S591" s="48"/>
      <c r="T591" s="48">
        <f t="shared" si="226"/>
        <v>0</v>
      </c>
    </row>
    <row r="592" spans="1:20" s="27" customFormat="1" x14ac:dyDescent="0.2">
      <c r="A592" s="28"/>
      <c r="B592" s="66" t="s">
        <v>32</v>
      </c>
      <c r="C592" s="67"/>
      <c r="D592" s="68"/>
      <c r="E592" s="92" t="s">
        <v>580</v>
      </c>
      <c r="F592" s="106"/>
      <c r="G592" s="67"/>
      <c r="H592" s="68"/>
      <c r="I592" s="69"/>
      <c r="J592" s="69"/>
      <c r="K592" s="49">
        <f>SUM(K589:K591)</f>
        <v>0</v>
      </c>
      <c r="L592" s="49">
        <f t="shared" ref="L592:T592" si="227">SUM(L589:L591)</f>
        <v>0</v>
      </c>
      <c r="M592" s="238">
        <f t="shared" si="227"/>
        <v>0</v>
      </c>
      <c r="N592" s="238">
        <f t="shared" si="227"/>
        <v>0</v>
      </c>
      <c r="O592" s="238">
        <f t="shared" si="227"/>
        <v>0</v>
      </c>
      <c r="P592" s="238">
        <f t="shared" si="227"/>
        <v>0</v>
      </c>
      <c r="Q592" s="238">
        <f t="shared" si="227"/>
        <v>0</v>
      </c>
      <c r="R592" s="49">
        <f t="shared" si="227"/>
        <v>0</v>
      </c>
      <c r="S592" s="49"/>
      <c r="T592" s="49">
        <f t="shared" si="227"/>
        <v>0</v>
      </c>
    </row>
    <row r="593" spans="1:20" s="27" customFormat="1" x14ac:dyDescent="0.2">
      <c r="A593" s="28"/>
      <c r="B593" s="55" t="s">
        <v>422</v>
      </c>
      <c r="C593" s="56"/>
      <c r="D593" s="57"/>
      <c r="E593" s="82" t="s">
        <v>461</v>
      </c>
      <c r="F593" s="102"/>
      <c r="G593" s="58"/>
      <c r="H593" s="100"/>
      <c r="I593" s="58"/>
      <c r="J593" s="58"/>
      <c r="K593" s="84">
        <f>+K547+K551+K562+K571+K582+K587+K592</f>
        <v>0</v>
      </c>
      <c r="L593" s="84">
        <f t="shared" ref="L593:T593" si="228">+L547+L551+L562+L571+L582+L587+L592</f>
        <v>0</v>
      </c>
      <c r="M593" s="244">
        <f t="shared" si="228"/>
        <v>0</v>
      </c>
      <c r="N593" s="244">
        <f t="shared" si="228"/>
        <v>0</v>
      </c>
      <c r="O593" s="244">
        <f t="shared" si="228"/>
        <v>0</v>
      </c>
      <c r="P593" s="244">
        <f t="shared" si="228"/>
        <v>0</v>
      </c>
      <c r="Q593" s="244">
        <f t="shared" si="228"/>
        <v>0</v>
      </c>
      <c r="R593" s="84">
        <f t="shared" si="228"/>
        <v>0</v>
      </c>
      <c r="S593" s="84"/>
      <c r="T593" s="84">
        <f t="shared" si="228"/>
        <v>0</v>
      </c>
    </row>
    <row r="594" spans="1:20" x14ac:dyDescent="0.2">
      <c r="K594" s="29"/>
      <c r="L594" s="29"/>
      <c r="M594" s="240"/>
      <c r="N594" s="240"/>
      <c r="O594" s="240"/>
      <c r="P594" s="240"/>
      <c r="Q594" s="240"/>
      <c r="R594" s="29"/>
      <c r="S594" s="29"/>
      <c r="T594" s="29"/>
    </row>
    <row r="595" spans="1:20" x14ac:dyDescent="0.2">
      <c r="B595" s="77"/>
      <c r="C595" s="78"/>
      <c r="D595" s="79"/>
      <c r="E595" s="80" t="s">
        <v>463</v>
      </c>
      <c r="F595" s="79"/>
      <c r="G595" s="78"/>
      <c r="H595" s="79"/>
      <c r="I595" s="78"/>
      <c r="J595" s="78"/>
      <c r="K595" s="80">
        <f>+K593+K539+K251+K134+K68+K38+K21</f>
        <v>0</v>
      </c>
      <c r="L595" s="80">
        <f t="shared" ref="L595:T595" si="229">+L593+L539+L251+L134+L68+L38+L21</f>
        <v>0</v>
      </c>
      <c r="M595" s="245">
        <f t="shared" si="229"/>
        <v>0</v>
      </c>
      <c r="N595" s="245">
        <f t="shared" si="229"/>
        <v>0</v>
      </c>
      <c r="O595" s="245">
        <f t="shared" si="229"/>
        <v>0</v>
      </c>
      <c r="P595" s="245">
        <f t="shared" si="229"/>
        <v>0</v>
      </c>
      <c r="Q595" s="245">
        <f t="shared" si="229"/>
        <v>0</v>
      </c>
      <c r="R595" s="80">
        <f t="shared" si="229"/>
        <v>0</v>
      </c>
      <c r="S595" s="80"/>
      <c r="T595" s="81">
        <f t="shared" si="229"/>
        <v>0</v>
      </c>
    </row>
    <row r="596" spans="1:20" x14ac:dyDescent="0.2"/>
  </sheetData>
  <sheetProtection algorithmName="SHA-512" hashValue="fJTBNf6S6SBIPC75vIXjl3pBQAhlXIJkHqtkcu7KPtZelKMVpiyH21NwrIBMy7M9JUDKu9KtiHWlhoOBZK5HqQ==" saltValue="KwGK/j+0GVmpbZ71PWrOVw==" spinCount="100000" sheet="1" objects="1" scenarios="1" selectLockedCells="1"/>
  <dataConsolidate/>
  <mergeCells count="1">
    <mergeCell ref="B2:T2"/>
  </mergeCells>
  <dataValidations count="11">
    <dataValidation type="whole" allowBlank="1" showInputMessage="1" showErrorMessage="1" error="Please enter whole numbers only" prompt="Please type the code of the associated service (the same code that you create in the well market section)" sqref="C18:C591">
      <formula1>0</formula1>
      <formula2>99999999</formula2>
    </dataValidation>
    <dataValidation allowBlank="1" showInputMessage="1" showErrorMessage="1" prompt="Please type the unit of the associated service (the same unit that you create in the well market section)" sqref="D18:D591"/>
    <dataValidation type="whole" allowBlank="1" showInputMessage="1" showErrorMessage="1" error="Please enter whole numbers only" prompt="Please type the cost of the associated service (the same cost that you create in the well market section)" sqref="E18:E378 E380:E392 E394:E1048576">
      <formula1>0</formula1>
      <formula2>999999999</formula2>
    </dataValidation>
    <dataValidation allowBlank="1" showInputMessage="1" showErrorMessage="1" prompt="Please type the name of the service (the same name that you create in the well market section)" sqref="F18:F1048576"/>
    <dataValidation allowBlank="1" showInputMessage="1" showErrorMessage="1" prompt="Please type the name of the contractor that is going to provide the service." sqref="I16:I591"/>
    <dataValidation allowBlank="1" showInputMessage="1" showErrorMessage="1" prompt="Please type the contract identification of the contractor that is going to provide the service." sqref="J16:J591"/>
    <dataValidation type="decimal" allowBlank="1" showInputMessage="1" showErrorMessage="1" error=" Please enter only numbers or formulas in which results are numbers" prompt="Please enter the value of the cost of the associated service and well phase; the value needs to be without VAT. (You can enter formulas in which results are numbers)" sqref="K18:K36">
      <formula1>0</formula1>
      <formula2>999999999</formula2>
    </dataValidation>
    <dataValidation type="decimal" allowBlank="1" showInputMessage="1" showErrorMessage="1" error="Please enter only numbers or formulas in which results are numbers." prompt="Please enter the value of the cost of the associated service and well phase; the value needs to be without VAT. (You can enter formulas in which results are numbers)" sqref="L62:L66">
      <formula1>0</formula1>
      <formula2>999999999</formula2>
    </dataValidation>
    <dataValidation type="decimal" allowBlank="1" showInputMessage="1" showErrorMessage="1" error="Please enter only numbers or formulas in which results are numbers." prompt="Please enter the value of the cost of the associated service and well phase; the value needs to be without VAT. (You can enter formulas in which results are numbers)." sqref="M51:M1048576 Q51:R591 N51:O591 P416">
      <formula1>0</formula1>
      <formula2>999999999</formula2>
    </dataValidation>
    <dataValidation allowBlank="1" showInputMessage="1" showErrorMessage="1" error="Please enter only numbers or formulas in which results are numbers." prompt="Please enter the value of the cost of the associated service and well phase; the value needs to be without VAT. (You can enter formulas in which results are numbers)." sqref="P51:P415 P417:P591"/>
    <dataValidation allowBlank="1" showInputMessage="1" showErrorMessage="1" error="Please enter whole numbers only" prompt="Please type the cost of the associated service (the same cost that you create in the well market section)" sqref="E379 E39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  <headerFooter>
    <oddFooter>&amp;C&amp;F
&amp;P de &amp;N
Well Cost Estimation tool V1.0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N27"/>
  <sheetViews>
    <sheetView showGridLines="0" zoomScale="80" zoomScaleNormal="80" workbookViewId="0">
      <selection activeCell="H19" sqref="H19"/>
    </sheetView>
  </sheetViews>
  <sheetFormatPr baseColWidth="10" defaultColWidth="0" defaultRowHeight="12.75" x14ac:dyDescent="0.2"/>
  <cols>
    <col min="1" max="1" width="1.7109375" style="11" customWidth="1"/>
    <col min="2" max="2" width="31.7109375" style="19" bestFit="1" customWidth="1"/>
    <col min="3" max="3" width="12.140625" style="11" bestFit="1" customWidth="1"/>
    <col min="4" max="4" width="13.42578125" style="11" bestFit="1" customWidth="1"/>
    <col min="5" max="5" width="21" style="11" bestFit="1" customWidth="1"/>
    <col min="6" max="6" width="8.42578125" style="11" bestFit="1" customWidth="1"/>
    <col min="7" max="7" width="20.140625" style="11" bestFit="1" customWidth="1"/>
    <col min="8" max="8" width="18.7109375" style="11" bestFit="1" customWidth="1"/>
    <col min="9" max="9" width="18.140625" style="11" bestFit="1" customWidth="1"/>
    <col min="10" max="10" width="12" style="11" bestFit="1" customWidth="1"/>
    <col min="11" max="11" width="1.7109375" style="11" customWidth="1"/>
    <col min="12" max="12" width="15.7109375" style="11" bestFit="1" customWidth="1"/>
    <col min="13" max="13" width="10.28515625" style="11" bestFit="1" customWidth="1"/>
    <col min="14" max="14" width="1.7109375" style="11" customWidth="1"/>
    <col min="15" max="16384" width="11.42578125" style="11" hidden="1"/>
  </cols>
  <sheetData>
    <row r="2" spans="2:13" s="28" customFormat="1" x14ac:dyDescent="0.2">
      <c r="B2" s="386" t="s">
        <v>688</v>
      </c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</row>
    <row r="3" spans="2:13" ht="13.5" thickBot="1" x14ac:dyDescent="0.25"/>
    <row r="4" spans="2:13" x14ac:dyDescent="0.2">
      <c r="B4" s="260" t="s">
        <v>52</v>
      </c>
      <c r="C4" s="261" t="str">
        <f>+'AFE DETAILED'!K4</f>
        <v xml:space="preserve">CIVIL WORKS </v>
      </c>
      <c r="D4" s="261" t="str">
        <f>+'AFE DETAILED'!L4</f>
        <v xml:space="preserve">MOBILIZATION </v>
      </c>
      <c r="E4" s="261" t="str">
        <f>+'AFE DETAILED'!M4</f>
        <v>N/A</v>
      </c>
      <c r="F4" s="261" t="str">
        <f>+'AFE DETAILED'!N4</f>
        <v>N/A</v>
      </c>
      <c r="G4" s="261" t="str">
        <f>+'AFE DETAILED'!O4</f>
        <v>N/A</v>
      </c>
      <c r="H4" s="261" t="str">
        <f>+'AFE DETAILED'!P4</f>
        <v>N/A</v>
      </c>
      <c r="I4" s="261" t="str">
        <f>+'AFE DETAILED'!Q4</f>
        <v>N/A</v>
      </c>
      <c r="J4" s="15" t="str">
        <f>+'AFE DETAILED'!R4</f>
        <v>N/A</v>
      </c>
      <c r="L4" s="14" t="s">
        <v>55</v>
      </c>
      <c r="M4" s="15" t="s">
        <v>56</v>
      </c>
    </row>
    <row r="5" spans="2:13" x14ac:dyDescent="0.2">
      <c r="B5" s="262" t="s">
        <v>53</v>
      </c>
      <c r="C5" s="43" t="str">
        <f>+C4</f>
        <v xml:space="preserve">CIVIL WORKS </v>
      </c>
      <c r="D5" s="43" t="str">
        <f>+D4</f>
        <v xml:space="preserve">MOBILIZATION </v>
      </c>
      <c r="E5" s="43">
        <f>+HLOOKUP(E4,'INITIAL DATA'!$E$8:$J$14,2,0)</f>
        <v>0</v>
      </c>
      <c r="F5" s="43">
        <f>+HLOOKUP(F4,'INITIAL DATA'!$E$8:$J$14,2,0)</f>
        <v>0</v>
      </c>
      <c r="G5" s="43">
        <f>+HLOOKUP(G4,'INITIAL DATA'!$E$8:$J$14,2,0)</f>
        <v>0</v>
      </c>
      <c r="H5" s="43">
        <f>+HLOOKUP(H4,'INITIAL DATA'!$E$8:$J$14,2,0)</f>
        <v>0</v>
      </c>
      <c r="I5" s="43">
        <f>+HLOOKUP(I4,'INITIAL DATA'!$E$8:$J$14,2,0)</f>
        <v>0</v>
      </c>
      <c r="J5" s="2" t="str">
        <f>+J4</f>
        <v>N/A</v>
      </c>
      <c r="L5" s="16" t="str">
        <f>+LISTS!B4</f>
        <v>26"</v>
      </c>
      <c r="M5" s="2">
        <v>26</v>
      </c>
    </row>
    <row r="6" spans="2:13" x14ac:dyDescent="0.2">
      <c r="B6" s="262" t="s">
        <v>54</v>
      </c>
      <c r="C6" s="43" t="s">
        <v>7</v>
      </c>
      <c r="D6" s="43" t="s">
        <v>7</v>
      </c>
      <c r="E6" s="43">
        <f>+VLOOKUP(E5,$L$4:$M$13,2,0)</f>
        <v>0</v>
      </c>
      <c r="F6" s="43">
        <f>+VLOOKUP(F5,$L$4:$M$13,2,0)</f>
        <v>0</v>
      </c>
      <c r="G6" s="43">
        <f>+VLOOKUP(G5,$L$4:$M$13,2,0)</f>
        <v>0</v>
      </c>
      <c r="H6" s="43">
        <f>+VLOOKUP(H5,$L$4:$M$13,2,0)</f>
        <v>0</v>
      </c>
      <c r="I6" s="43">
        <f>+VLOOKUP(I5,$L$4:$M$13,2,0)</f>
        <v>0</v>
      </c>
      <c r="J6" s="2">
        <f>+IF(I6="N/A",IF(H6="N/A",IF(G6="N/A",IF(F6="N/A",IF(E6="N/A",0,E6),F6),G6),H6),I6)</f>
        <v>0</v>
      </c>
      <c r="L6" s="16" t="str">
        <f>+LISTS!B5</f>
        <v>17 1/2"</v>
      </c>
      <c r="M6" s="2">
        <v>17.5</v>
      </c>
    </row>
    <row r="7" spans="2:13" x14ac:dyDescent="0.2">
      <c r="B7" s="262" t="s">
        <v>51</v>
      </c>
      <c r="C7" s="43" t="s">
        <v>7</v>
      </c>
      <c r="D7" s="43" t="s">
        <v>7</v>
      </c>
      <c r="E7" s="43">
        <f>+HLOOKUP(E4,'INITIAL DATA'!$E$8:$J$14,3,0)</f>
        <v>0</v>
      </c>
      <c r="F7" s="43">
        <f>+HLOOKUP(F4,'INITIAL DATA'!$E$8:$J$14,3,0)</f>
        <v>0</v>
      </c>
      <c r="G7" s="43">
        <f>+HLOOKUP(G4,'INITIAL DATA'!$E$8:$J$14,3,0)</f>
        <v>0</v>
      </c>
      <c r="H7" s="43">
        <f>+HLOOKUP(H4,'INITIAL DATA'!$E$8:$J$14,3,0)</f>
        <v>0</v>
      </c>
      <c r="I7" s="43">
        <f>+HLOOKUP(I4,'INITIAL DATA'!$E$8:$J$14,3,0)</f>
        <v>0</v>
      </c>
      <c r="J7" s="2">
        <f>+HLOOKUP(J4,'INITIAL DATA'!$E$8:$J$14,3,0)</f>
        <v>0</v>
      </c>
      <c r="L7" s="16" t="str">
        <f>+LISTS!B6</f>
        <v>12 1/4"</v>
      </c>
      <c r="M7" s="2">
        <v>12.25</v>
      </c>
    </row>
    <row r="8" spans="2:13" ht="26.25" thickBot="1" x14ac:dyDescent="0.25">
      <c r="B8" s="263" t="s">
        <v>58</v>
      </c>
      <c r="C8" s="264" t="s">
        <v>7</v>
      </c>
      <c r="D8" s="264" t="s">
        <v>7</v>
      </c>
      <c r="E8" s="264" t="e">
        <f t="shared" ref="E8:J8" si="0">+VLOOKUP(E7,$L$15:$M$27,2,0)</f>
        <v>#N/A</v>
      </c>
      <c r="F8" s="264" t="e">
        <f t="shared" si="0"/>
        <v>#N/A</v>
      </c>
      <c r="G8" s="264" t="e">
        <f t="shared" si="0"/>
        <v>#N/A</v>
      </c>
      <c r="H8" s="264" t="e">
        <f t="shared" si="0"/>
        <v>#N/A</v>
      </c>
      <c r="I8" s="264" t="e">
        <f t="shared" si="0"/>
        <v>#N/A</v>
      </c>
      <c r="J8" s="18" t="e">
        <f t="shared" si="0"/>
        <v>#N/A</v>
      </c>
      <c r="L8" s="16" t="str">
        <f>+LISTS!B7</f>
        <v>8 1/2"</v>
      </c>
      <c r="M8" s="2">
        <v>8.5</v>
      </c>
    </row>
    <row r="9" spans="2:13" x14ac:dyDescent="0.2">
      <c r="L9" s="16" t="str">
        <f>+LISTS!B8</f>
        <v>6"</v>
      </c>
      <c r="M9" s="2">
        <v>6</v>
      </c>
    </row>
    <row r="10" spans="2:13" x14ac:dyDescent="0.2">
      <c r="L10" s="16" t="str">
        <f>+LISTS!B9</f>
        <v>N/A</v>
      </c>
      <c r="M10" s="2" t="s">
        <v>7</v>
      </c>
    </row>
    <row r="11" spans="2:13" x14ac:dyDescent="0.2">
      <c r="H11" s="28"/>
      <c r="L11" s="16">
        <f>+LISTS!B10</f>
        <v>0</v>
      </c>
      <c r="M11" s="2">
        <v>0</v>
      </c>
    </row>
    <row r="12" spans="2:13" x14ac:dyDescent="0.2">
      <c r="H12" s="28"/>
      <c r="L12" s="16">
        <f>+LISTS!B11</f>
        <v>0</v>
      </c>
      <c r="M12" s="2">
        <v>0</v>
      </c>
    </row>
    <row r="13" spans="2:13" ht="13.5" thickBot="1" x14ac:dyDescent="0.25">
      <c r="H13" s="28"/>
      <c r="L13" s="17">
        <f>+LISTS!B12</f>
        <v>0</v>
      </c>
      <c r="M13" s="18">
        <v>0</v>
      </c>
    </row>
    <row r="14" spans="2:13" ht="13.5" thickBot="1" x14ac:dyDescent="0.25"/>
    <row r="15" spans="2:13" x14ac:dyDescent="0.2">
      <c r="L15" s="21" t="s">
        <v>47</v>
      </c>
      <c r="M15" s="20" t="s">
        <v>56</v>
      </c>
    </row>
    <row r="16" spans="2:13" x14ac:dyDescent="0.2">
      <c r="L16" s="22" t="s">
        <v>41</v>
      </c>
      <c r="M16" s="2">
        <v>20</v>
      </c>
    </row>
    <row r="17" spans="12:13" x14ac:dyDescent="0.2">
      <c r="L17" s="23" t="s">
        <v>42</v>
      </c>
      <c r="M17" s="2">
        <v>13.375</v>
      </c>
    </row>
    <row r="18" spans="12:13" x14ac:dyDescent="0.2">
      <c r="L18" s="22" t="s">
        <v>43</v>
      </c>
      <c r="M18" s="2">
        <v>9.625</v>
      </c>
    </row>
    <row r="19" spans="12:13" x14ac:dyDescent="0.2">
      <c r="L19" s="22" t="s">
        <v>45</v>
      </c>
      <c r="M19" s="2">
        <v>7</v>
      </c>
    </row>
    <row r="20" spans="12:13" x14ac:dyDescent="0.2">
      <c r="L20" s="22" t="s">
        <v>13</v>
      </c>
      <c r="M20" s="2">
        <v>6</v>
      </c>
    </row>
    <row r="21" spans="12:13" x14ac:dyDescent="0.2">
      <c r="L21" s="24" t="s">
        <v>46</v>
      </c>
      <c r="M21" s="2">
        <v>5.5</v>
      </c>
    </row>
    <row r="22" spans="12:13" x14ac:dyDescent="0.2">
      <c r="L22" s="22" t="s">
        <v>44</v>
      </c>
      <c r="M22" s="2">
        <v>5</v>
      </c>
    </row>
    <row r="23" spans="12:13" x14ac:dyDescent="0.2">
      <c r="L23" s="22" t="s">
        <v>23</v>
      </c>
      <c r="M23" s="2">
        <v>4.5</v>
      </c>
    </row>
    <row r="24" spans="12:13" x14ac:dyDescent="0.2">
      <c r="L24" s="22" t="s">
        <v>57</v>
      </c>
      <c r="M24" s="2">
        <v>4</v>
      </c>
    </row>
    <row r="25" spans="12:13" x14ac:dyDescent="0.2">
      <c r="L25" s="22" t="s">
        <v>24</v>
      </c>
      <c r="M25" s="2">
        <v>3.5</v>
      </c>
    </row>
    <row r="26" spans="12:13" x14ac:dyDescent="0.2">
      <c r="L26" s="22" t="s">
        <v>48</v>
      </c>
      <c r="M26" s="2" t="s">
        <v>48</v>
      </c>
    </row>
    <row r="27" spans="12:13" ht="13.5" thickBot="1" x14ac:dyDescent="0.25">
      <c r="L27" s="25" t="s">
        <v>7</v>
      </c>
      <c r="M27" s="18" t="s">
        <v>7</v>
      </c>
    </row>
  </sheetData>
  <mergeCells count="1">
    <mergeCell ref="B2:M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N734"/>
  <sheetViews>
    <sheetView showGridLines="0" workbookViewId="0">
      <selection activeCell="J6" sqref="J6"/>
    </sheetView>
  </sheetViews>
  <sheetFormatPr baseColWidth="10" defaultRowHeight="12.75" x14ac:dyDescent="0.2"/>
  <cols>
    <col min="1" max="1" width="1.85546875" style="1" customWidth="1"/>
    <col min="2" max="2" width="11.42578125" style="1"/>
    <col min="3" max="3" width="20" style="1" bestFit="1" customWidth="1"/>
    <col min="4" max="4" width="11.7109375" style="1" bestFit="1" customWidth="1"/>
    <col min="5" max="5" width="11.42578125" style="1"/>
    <col min="6" max="6" width="14.42578125" style="1" bestFit="1" customWidth="1"/>
    <col min="7" max="8" width="11.42578125" style="1"/>
    <col min="9" max="9" width="13" style="1" bestFit="1" customWidth="1"/>
    <col min="10" max="13" width="11.42578125" style="1"/>
    <col min="14" max="14" width="15.5703125" style="1" bestFit="1" customWidth="1"/>
    <col min="15" max="15" width="1.85546875" style="1" customWidth="1"/>
    <col min="16" max="16384" width="11.42578125" style="1"/>
  </cols>
  <sheetData>
    <row r="1" spans="2:14" ht="13.5" thickBot="1" x14ac:dyDescent="0.25"/>
    <row r="2" spans="2:14" ht="13.5" thickBot="1" x14ac:dyDescent="0.25">
      <c r="D2" s="304">
        <f>+'INITIAL DATA'!C4</f>
        <v>2014</v>
      </c>
    </row>
    <row r="3" spans="2:14" x14ac:dyDescent="0.2">
      <c r="B3" s="5" t="s">
        <v>8</v>
      </c>
      <c r="C3" s="3" t="s">
        <v>3</v>
      </c>
      <c r="D3" s="5" t="s">
        <v>33</v>
      </c>
      <c r="E3" s="13" t="s">
        <v>38</v>
      </c>
      <c r="F3" s="13" t="s">
        <v>47</v>
      </c>
      <c r="G3" s="13" t="s">
        <v>132</v>
      </c>
      <c r="H3" s="13" t="s">
        <v>536</v>
      </c>
      <c r="I3" s="255" t="s">
        <v>540</v>
      </c>
      <c r="J3" s="255" t="s">
        <v>548</v>
      </c>
      <c r="K3" s="13" t="s">
        <v>563</v>
      </c>
      <c r="L3" s="13" t="s">
        <v>564</v>
      </c>
      <c r="M3" s="255" t="s">
        <v>639</v>
      </c>
      <c r="N3" s="257" t="s">
        <v>602</v>
      </c>
    </row>
    <row r="4" spans="2:14" x14ac:dyDescent="0.2">
      <c r="B4" s="6" t="s">
        <v>9</v>
      </c>
      <c r="C4" s="4" t="s">
        <v>7</v>
      </c>
      <c r="D4" s="118">
        <f>+DATE($D$2,1,1)</f>
        <v>41640</v>
      </c>
      <c r="E4" s="6" t="s">
        <v>34</v>
      </c>
      <c r="F4" s="6" t="s">
        <v>41</v>
      </c>
      <c r="G4" s="7" t="s">
        <v>525</v>
      </c>
      <c r="H4" s="7" t="s">
        <v>34</v>
      </c>
      <c r="I4" s="256" t="s">
        <v>541</v>
      </c>
      <c r="J4" s="256" t="s">
        <v>549</v>
      </c>
      <c r="K4" s="7" t="s">
        <v>34</v>
      </c>
      <c r="L4" s="6">
        <v>0</v>
      </c>
      <c r="M4" s="301">
        <v>0</v>
      </c>
      <c r="N4" s="258" t="s">
        <v>603</v>
      </c>
    </row>
    <row r="5" spans="2:14" ht="13.5" thickBot="1" x14ac:dyDescent="0.25">
      <c r="B5" s="6" t="s">
        <v>10</v>
      </c>
      <c r="C5" s="4" t="s">
        <v>21</v>
      </c>
      <c r="D5" s="118">
        <f>+D4+1</f>
        <v>41641</v>
      </c>
      <c r="E5" s="6" t="s">
        <v>35</v>
      </c>
      <c r="F5" s="7" t="s">
        <v>42</v>
      </c>
      <c r="G5" s="7" t="s">
        <v>526</v>
      </c>
      <c r="H5" s="7" t="s">
        <v>35</v>
      </c>
      <c r="I5" s="256" t="s">
        <v>542</v>
      </c>
      <c r="J5" s="256" t="s">
        <v>550</v>
      </c>
      <c r="K5" s="122" t="s">
        <v>35</v>
      </c>
      <c r="L5" s="6">
        <v>1</v>
      </c>
      <c r="M5" s="301">
        <v>5.0000000000000001E-3</v>
      </c>
      <c r="N5" s="259" t="s">
        <v>604</v>
      </c>
    </row>
    <row r="6" spans="2:14" ht="13.5" thickBot="1" x14ac:dyDescent="0.25">
      <c r="B6" s="6" t="s">
        <v>11</v>
      </c>
      <c r="C6" s="4" t="s">
        <v>14</v>
      </c>
      <c r="D6" s="118">
        <f t="shared" ref="D6:D69" si="0">+D5+1</f>
        <v>41642</v>
      </c>
      <c r="E6" s="8" t="s">
        <v>7</v>
      </c>
      <c r="F6" s="6" t="s">
        <v>43</v>
      </c>
      <c r="G6" s="122" t="s">
        <v>527</v>
      </c>
      <c r="H6" s="122"/>
      <c r="I6" s="256" t="s">
        <v>543</v>
      </c>
      <c r="J6" s="256" t="s">
        <v>35</v>
      </c>
      <c r="L6" s="6">
        <v>2</v>
      </c>
      <c r="M6" s="301">
        <v>0.01</v>
      </c>
    </row>
    <row r="7" spans="2:14" ht="13.5" thickBot="1" x14ac:dyDescent="0.25">
      <c r="B7" s="6" t="s">
        <v>12</v>
      </c>
      <c r="C7" s="4" t="s">
        <v>15</v>
      </c>
      <c r="D7" s="119">
        <f t="shared" si="0"/>
        <v>41643</v>
      </c>
      <c r="F7" s="4" t="s">
        <v>45</v>
      </c>
      <c r="I7" s="9" t="s">
        <v>35</v>
      </c>
      <c r="J7" s="110"/>
      <c r="L7" s="6">
        <v>3</v>
      </c>
      <c r="M7" s="301">
        <v>1.4999999999999999E-2</v>
      </c>
    </row>
    <row r="8" spans="2:14" x14ac:dyDescent="0.2">
      <c r="B8" s="6" t="s">
        <v>13</v>
      </c>
      <c r="C8" s="4" t="s">
        <v>16</v>
      </c>
      <c r="D8" s="119">
        <f t="shared" si="0"/>
        <v>41644</v>
      </c>
      <c r="F8" s="4" t="s">
        <v>13</v>
      </c>
      <c r="L8" s="6">
        <v>4</v>
      </c>
      <c r="M8" s="301">
        <v>0.02</v>
      </c>
    </row>
    <row r="9" spans="2:14" x14ac:dyDescent="0.2">
      <c r="B9" s="6" t="s">
        <v>7</v>
      </c>
      <c r="C9" s="4" t="s">
        <v>19</v>
      </c>
      <c r="D9" s="119">
        <f t="shared" si="0"/>
        <v>41645</v>
      </c>
      <c r="F9" s="109" t="s">
        <v>46</v>
      </c>
      <c r="L9" s="6">
        <v>5</v>
      </c>
      <c r="M9" s="301">
        <v>2.5000000000000001E-2</v>
      </c>
    </row>
    <row r="10" spans="2:14" x14ac:dyDescent="0.2">
      <c r="B10" s="7"/>
      <c r="C10" s="4" t="s">
        <v>20</v>
      </c>
      <c r="D10" s="119">
        <f t="shared" si="0"/>
        <v>41646</v>
      </c>
      <c r="F10" s="4" t="s">
        <v>44</v>
      </c>
      <c r="L10" s="6">
        <v>5</v>
      </c>
      <c r="M10" s="301">
        <v>0.03</v>
      </c>
    </row>
    <row r="11" spans="2:14" x14ac:dyDescent="0.2">
      <c r="B11" s="7"/>
      <c r="C11" s="4" t="s">
        <v>17</v>
      </c>
      <c r="D11" s="119">
        <f t="shared" si="0"/>
        <v>41647</v>
      </c>
      <c r="F11" s="4" t="s">
        <v>23</v>
      </c>
      <c r="L11" s="6">
        <v>6</v>
      </c>
      <c r="M11" s="301">
        <v>3.5000000000000003E-2</v>
      </c>
    </row>
    <row r="12" spans="2:14" ht="13.5" thickBot="1" x14ac:dyDescent="0.25">
      <c r="B12" s="8"/>
      <c r="C12" s="9" t="s">
        <v>18</v>
      </c>
      <c r="D12" s="119">
        <f t="shared" si="0"/>
        <v>41648</v>
      </c>
      <c r="F12" s="4" t="s">
        <v>57</v>
      </c>
      <c r="L12" s="6">
        <v>7</v>
      </c>
      <c r="M12" s="301">
        <v>0.04</v>
      </c>
    </row>
    <row r="13" spans="2:14" x14ac:dyDescent="0.2">
      <c r="D13" s="119">
        <f t="shared" si="0"/>
        <v>41649</v>
      </c>
      <c r="F13" s="4" t="s">
        <v>24</v>
      </c>
      <c r="L13" s="6">
        <v>8</v>
      </c>
      <c r="M13" s="301">
        <v>4.4999999999999998E-2</v>
      </c>
    </row>
    <row r="14" spans="2:14" x14ac:dyDescent="0.2">
      <c r="D14" s="119">
        <f t="shared" si="0"/>
        <v>41650</v>
      </c>
      <c r="F14" s="4" t="s">
        <v>48</v>
      </c>
      <c r="L14" s="6">
        <v>9</v>
      </c>
      <c r="M14" s="301">
        <v>0.05</v>
      </c>
    </row>
    <row r="15" spans="2:14" ht="13.5" thickBot="1" x14ac:dyDescent="0.25">
      <c r="D15" s="119">
        <f t="shared" si="0"/>
        <v>41651</v>
      </c>
      <c r="F15" s="110" t="s">
        <v>7</v>
      </c>
      <c r="L15" s="8">
        <v>10</v>
      </c>
      <c r="M15" s="301">
        <v>5.5E-2</v>
      </c>
    </row>
    <row r="16" spans="2:14" x14ac:dyDescent="0.2">
      <c r="D16" s="119">
        <f t="shared" si="0"/>
        <v>41652</v>
      </c>
      <c r="M16" s="301">
        <v>0.06</v>
      </c>
    </row>
    <row r="17" spans="4:13" x14ac:dyDescent="0.2">
      <c r="D17" s="119">
        <f t="shared" si="0"/>
        <v>41653</v>
      </c>
      <c r="M17" s="301">
        <v>6.5000000000000002E-2</v>
      </c>
    </row>
    <row r="18" spans="4:13" x14ac:dyDescent="0.2">
      <c r="D18" s="119">
        <f t="shared" si="0"/>
        <v>41654</v>
      </c>
      <c r="M18" s="301">
        <v>7.0000000000000007E-2</v>
      </c>
    </row>
    <row r="19" spans="4:13" x14ac:dyDescent="0.2">
      <c r="D19" s="119">
        <f t="shared" si="0"/>
        <v>41655</v>
      </c>
      <c r="M19" s="301">
        <v>7.4999999999999997E-2</v>
      </c>
    </row>
    <row r="20" spans="4:13" x14ac:dyDescent="0.2">
      <c r="D20" s="119">
        <f t="shared" si="0"/>
        <v>41656</v>
      </c>
      <c r="M20" s="301">
        <v>0.08</v>
      </c>
    </row>
    <row r="21" spans="4:13" x14ac:dyDescent="0.2">
      <c r="D21" s="119">
        <f t="shared" si="0"/>
        <v>41657</v>
      </c>
      <c r="M21" s="301">
        <v>8.5000000000000006E-2</v>
      </c>
    </row>
    <row r="22" spans="4:13" x14ac:dyDescent="0.2">
      <c r="D22" s="119">
        <f t="shared" si="0"/>
        <v>41658</v>
      </c>
      <c r="M22" s="301">
        <v>0.09</v>
      </c>
    </row>
    <row r="23" spans="4:13" x14ac:dyDescent="0.2">
      <c r="D23" s="119">
        <f t="shared" si="0"/>
        <v>41659</v>
      </c>
      <c r="M23" s="301">
        <v>9.5000000000000001E-2</v>
      </c>
    </row>
    <row r="24" spans="4:13" x14ac:dyDescent="0.2">
      <c r="D24" s="119">
        <f t="shared" si="0"/>
        <v>41660</v>
      </c>
      <c r="M24" s="301">
        <v>0.1</v>
      </c>
    </row>
    <row r="25" spans="4:13" x14ac:dyDescent="0.2">
      <c r="D25" s="119">
        <f t="shared" si="0"/>
        <v>41661</v>
      </c>
      <c r="M25" s="301">
        <v>0.105</v>
      </c>
    </row>
    <row r="26" spans="4:13" x14ac:dyDescent="0.2">
      <c r="D26" s="119">
        <f t="shared" si="0"/>
        <v>41662</v>
      </c>
      <c r="M26" s="301">
        <v>0.11</v>
      </c>
    </row>
    <row r="27" spans="4:13" x14ac:dyDescent="0.2">
      <c r="D27" s="119">
        <f t="shared" si="0"/>
        <v>41663</v>
      </c>
      <c r="M27" s="301">
        <v>0.115</v>
      </c>
    </row>
    <row r="28" spans="4:13" x14ac:dyDescent="0.2">
      <c r="D28" s="119">
        <f t="shared" si="0"/>
        <v>41664</v>
      </c>
      <c r="M28" s="301">
        <v>0.12</v>
      </c>
    </row>
    <row r="29" spans="4:13" x14ac:dyDescent="0.2">
      <c r="D29" s="119">
        <f t="shared" si="0"/>
        <v>41665</v>
      </c>
      <c r="M29" s="301">
        <v>0.125</v>
      </c>
    </row>
    <row r="30" spans="4:13" x14ac:dyDescent="0.2">
      <c r="D30" s="119">
        <f t="shared" si="0"/>
        <v>41666</v>
      </c>
      <c r="M30" s="301">
        <v>0.13</v>
      </c>
    </row>
    <row r="31" spans="4:13" x14ac:dyDescent="0.2">
      <c r="D31" s="119">
        <f t="shared" si="0"/>
        <v>41667</v>
      </c>
      <c r="M31" s="301">
        <v>0.13500000000000001</v>
      </c>
    </row>
    <row r="32" spans="4:13" x14ac:dyDescent="0.2">
      <c r="D32" s="119">
        <f t="shared" si="0"/>
        <v>41668</v>
      </c>
      <c r="M32" s="301">
        <v>0.14000000000000001</v>
      </c>
    </row>
    <row r="33" spans="4:13" x14ac:dyDescent="0.2">
      <c r="D33" s="119">
        <f t="shared" si="0"/>
        <v>41669</v>
      </c>
      <c r="M33" s="301">
        <v>0.14499999999999999</v>
      </c>
    </row>
    <row r="34" spans="4:13" x14ac:dyDescent="0.2">
      <c r="D34" s="119">
        <f t="shared" si="0"/>
        <v>41670</v>
      </c>
      <c r="M34" s="301">
        <v>0.15</v>
      </c>
    </row>
    <row r="35" spans="4:13" x14ac:dyDescent="0.2">
      <c r="D35" s="119">
        <f t="shared" si="0"/>
        <v>41671</v>
      </c>
      <c r="M35" s="301">
        <v>0.155</v>
      </c>
    </row>
    <row r="36" spans="4:13" x14ac:dyDescent="0.2">
      <c r="D36" s="119">
        <f t="shared" si="0"/>
        <v>41672</v>
      </c>
      <c r="M36" s="301">
        <v>0.16</v>
      </c>
    </row>
    <row r="37" spans="4:13" x14ac:dyDescent="0.2">
      <c r="D37" s="119">
        <f t="shared" si="0"/>
        <v>41673</v>
      </c>
      <c r="M37" s="301">
        <v>0.16500000000000001</v>
      </c>
    </row>
    <row r="38" spans="4:13" x14ac:dyDescent="0.2">
      <c r="D38" s="119">
        <f t="shared" si="0"/>
        <v>41674</v>
      </c>
      <c r="M38" s="301">
        <v>0.17</v>
      </c>
    </row>
    <row r="39" spans="4:13" x14ac:dyDescent="0.2">
      <c r="D39" s="119">
        <f t="shared" si="0"/>
        <v>41675</v>
      </c>
      <c r="M39" s="301">
        <v>0.17499999999999999</v>
      </c>
    </row>
    <row r="40" spans="4:13" x14ac:dyDescent="0.2">
      <c r="D40" s="119">
        <f t="shared" si="0"/>
        <v>41676</v>
      </c>
      <c r="M40" s="301">
        <v>0.18</v>
      </c>
    </row>
    <row r="41" spans="4:13" x14ac:dyDescent="0.2">
      <c r="D41" s="119">
        <f t="shared" si="0"/>
        <v>41677</v>
      </c>
      <c r="M41" s="301">
        <v>0.185</v>
      </c>
    </row>
    <row r="42" spans="4:13" x14ac:dyDescent="0.2">
      <c r="D42" s="119">
        <f t="shared" si="0"/>
        <v>41678</v>
      </c>
      <c r="M42" s="301">
        <v>0.19</v>
      </c>
    </row>
    <row r="43" spans="4:13" x14ac:dyDescent="0.2">
      <c r="D43" s="119">
        <f t="shared" si="0"/>
        <v>41679</v>
      </c>
      <c r="M43" s="301">
        <v>0.19500000000000001</v>
      </c>
    </row>
    <row r="44" spans="4:13" x14ac:dyDescent="0.2">
      <c r="D44" s="119">
        <f t="shared" si="0"/>
        <v>41680</v>
      </c>
      <c r="M44" s="301">
        <v>0.2</v>
      </c>
    </row>
    <row r="45" spans="4:13" x14ac:dyDescent="0.2">
      <c r="D45" s="119">
        <f t="shared" si="0"/>
        <v>41681</v>
      </c>
      <c r="M45" s="301">
        <v>0.20499999999999999</v>
      </c>
    </row>
    <row r="46" spans="4:13" x14ac:dyDescent="0.2">
      <c r="D46" s="119">
        <f t="shared" si="0"/>
        <v>41682</v>
      </c>
      <c r="M46" s="301">
        <v>0.21</v>
      </c>
    </row>
    <row r="47" spans="4:13" x14ac:dyDescent="0.2">
      <c r="D47" s="119">
        <f t="shared" si="0"/>
        <v>41683</v>
      </c>
      <c r="M47" s="301">
        <v>0.215</v>
      </c>
    </row>
    <row r="48" spans="4:13" x14ac:dyDescent="0.2">
      <c r="D48" s="119">
        <f t="shared" si="0"/>
        <v>41684</v>
      </c>
      <c r="M48" s="301">
        <v>0.22</v>
      </c>
    </row>
    <row r="49" spans="4:13" x14ac:dyDescent="0.2">
      <c r="D49" s="119">
        <f t="shared" si="0"/>
        <v>41685</v>
      </c>
      <c r="M49" s="301">
        <v>0.22500000000000001</v>
      </c>
    </row>
    <row r="50" spans="4:13" x14ac:dyDescent="0.2">
      <c r="D50" s="119">
        <f t="shared" si="0"/>
        <v>41686</v>
      </c>
      <c r="M50" s="301">
        <v>0.23</v>
      </c>
    </row>
    <row r="51" spans="4:13" x14ac:dyDescent="0.2">
      <c r="D51" s="119">
        <f t="shared" si="0"/>
        <v>41687</v>
      </c>
      <c r="M51" s="301">
        <v>0.23499999999999999</v>
      </c>
    </row>
    <row r="52" spans="4:13" x14ac:dyDescent="0.2">
      <c r="D52" s="119">
        <f t="shared" si="0"/>
        <v>41688</v>
      </c>
      <c r="M52" s="301">
        <v>0.24</v>
      </c>
    </row>
    <row r="53" spans="4:13" x14ac:dyDescent="0.2">
      <c r="D53" s="119">
        <f t="shared" si="0"/>
        <v>41689</v>
      </c>
      <c r="M53" s="301">
        <v>0.245</v>
      </c>
    </row>
    <row r="54" spans="4:13" x14ac:dyDescent="0.2">
      <c r="D54" s="119">
        <f t="shared" si="0"/>
        <v>41690</v>
      </c>
      <c r="M54" s="301">
        <v>0.25</v>
      </c>
    </row>
    <row r="55" spans="4:13" x14ac:dyDescent="0.2">
      <c r="D55" s="119">
        <f t="shared" si="0"/>
        <v>41691</v>
      </c>
      <c r="M55" s="301">
        <v>0.255</v>
      </c>
    </row>
    <row r="56" spans="4:13" x14ac:dyDescent="0.2">
      <c r="D56" s="119">
        <f t="shared" si="0"/>
        <v>41692</v>
      </c>
      <c r="M56" s="301">
        <v>0.26</v>
      </c>
    </row>
    <row r="57" spans="4:13" x14ac:dyDescent="0.2">
      <c r="D57" s="119">
        <f t="shared" si="0"/>
        <v>41693</v>
      </c>
      <c r="M57" s="301">
        <v>0.26500000000000001</v>
      </c>
    </row>
    <row r="58" spans="4:13" x14ac:dyDescent="0.2">
      <c r="D58" s="119">
        <f t="shared" si="0"/>
        <v>41694</v>
      </c>
      <c r="M58" s="301">
        <v>0.27</v>
      </c>
    </row>
    <row r="59" spans="4:13" x14ac:dyDescent="0.2">
      <c r="D59" s="119">
        <f t="shared" si="0"/>
        <v>41695</v>
      </c>
      <c r="M59" s="301">
        <v>0.27500000000000002</v>
      </c>
    </row>
    <row r="60" spans="4:13" x14ac:dyDescent="0.2">
      <c r="D60" s="119">
        <f t="shared" si="0"/>
        <v>41696</v>
      </c>
      <c r="M60" s="301">
        <v>0.28000000000000003</v>
      </c>
    </row>
    <row r="61" spans="4:13" x14ac:dyDescent="0.2">
      <c r="D61" s="119">
        <f t="shared" si="0"/>
        <v>41697</v>
      </c>
      <c r="M61" s="301">
        <v>0.28499999999999998</v>
      </c>
    </row>
    <row r="62" spans="4:13" x14ac:dyDescent="0.2">
      <c r="D62" s="119">
        <f t="shared" si="0"/>
        <v>41698</v>
      </c>
      <c r="M62" s="301">
        <v>0.28999999999999998</v>
      </c>
    </row>
    <row r="63" spans="4:13" x14ac:dyDescent="0.2">
      <c r="D63" s="119">
        <f t="shared" si="0"/>
        <v>41699</v>
      </c>
      <c r="M63" s="301">
        <v>0.29499999999999998</v>
      </c>
    </row>
    <row r="64" spans="4:13" x14ac:dyDescent="0.2">
      <c r="D64" s="119">
        <f t="shared" si="0"/>
        <v>41700</v>
      </c>
      <c r="M64" s="301">
        <v>0.3</v>
      </c>
    </row>
    <row r="65" spans="4:13" x14ac:dyDescent="0.2">
      <c r="D65" s="119">
        <f t="shared" si="0"/>
        <v>41701</v>
      </c>
      <c r="M65" s="301">
        <v>0.30499999999999999</v>
      </c>
    </row>
    <row r="66" spans="4:13" x14ac:dyDescent="0.2">
      <c r="D66" s="119">
        <f t="shared" si="0"/>
        <v>41702</v>
      </c>
      <c r="M66" s="301">
        <v>0.31</v>
      </c>
    </row>
    <row r="67" spans="4:13" x14ac:dyDescent="0.2">
      <c r="D67" s="119">
        <f t="shared" si="0"/>
        <v>41703</v>
      </c>
      <c r="M67" s="301">
        <v>0.315</v>
      </c>
    </row>
    <row r="68" spans="4:13" x14ac:dyDescent="0.2">
      <c r="D68" s="119">
        <f t="shared" si="0"/>
        <v>41704</v>
      </c>
      <c r="M68" s="301">
        <v>0.32</v>
      </c>
    </row>
    <row r="69" spans="4:13" x14ac:dyDescent="0.2">
      <c r="D69" s="119">
        <f t="shared" si="0"/>
        <v>41705</v>
      </c>
      <c r="M69" s="301">
        <v>0.32500000000000001</v>
      </c>
    </row>
    <row r="70" spans="4:13" x14ac:dyDescent="0.2">
      <c r="D70" s="119">
        <f t="shared" ref="D70:D133" si="1">+D69+1</f>
        <v>41706</v>
      </c>
      <c r="M70" s="301">
        <v>0.33</v>
      </c>
    </row>
    <row r="71" spans="4:13" x14ac:dyDescent="0.2">
      <c r="D71" s="119">
        <f t="shared" si="1"/>
        <v>41707</v>
      </c>
      <c r="M71" s="301">
        <v>0.33500000000000002</v>
      </c>
    </row>
    <row r="72" spans="4:13" x14ac:dyDescent="0.2">
      <c r="D72" s="119">
        <f t="shared" si="1"/>
        <v>41708</v>
      </c>
      <c r="M72" s="301">
        <v>0.34</v>
      </c>
    </row>
    <row r="73" spans="4:13" x14ac:dyDescent="0.2">
      <c r="D73" s="119">
        <f t="shared" si="1"/>
        <v>41709</v>
      </c>
      <c r="M73" s="301">
        <v>0.34499999999999997</v>
      </c>
    </row>
    <row r="74" spans="4:13" x14ac:dyDescent="0.2">
      <c r="D74" s="119">
        <f t="shared" si="1"/>
        <v>41710</v>
      </c>
      <c r="M74" s="301">
        <v>0.35</v>
      </c>
    </row>
    <row r="75" spans="4:13" x14ac:dyDescent="0.2">
      <c r="D75" s="119">
        <f t="shared" si="1"/>
        <v>41711</v>
      </c>
      <c r="M75" s="301">
        <v>0.35499999999999998</v>
      </c>
    </row>
    <row r="76" spans="4:13" x14ac:dyDescent="0.2">
      <c r="D76" s="119">
        <f t="shared" si="1"/>
        <v>41712</v>
      </c>
      <c r="M76" s="301">
        <v>0.36</v>
      </c>
    </row>
    <row r="77" spans="4:13" x14ac:dyDescent="0.2">
      <c r="D77" s="119">
        <f t="shared" si="1"/>
        <v>41713</v>
      </c>
      <c r="M77" s="301">
        <v>0.36499999999999999</v>
      </c>
    </row>
    <row r="78" spans="4:13" x14ac:dyDescent="0.2">
      <c r="D78" s="119">
        <f t="shared" si="1"/>
        <v>41714</v>
      </c>
      <c r="M78" s="301">
        <v>0.37</v>
      </c>
    </row>
    <row r="79" spans="4:13" x14ac:dyDescent="0.2">
      <c r="D79" s="119">
        <f t="shared" si="1"/>
        <v>41715</v>
      </c>
      <c r="M79" s="301">
        <v>0.375</v>
      </c>
    </row>
    <row r="80" spans="4:13" x14ac:dyDescent="0.2">
      <c r="D80" s="119">
        <f t="shared" si="1"/>
        <v>41716</v>
      </c>
      <c r="M80" s="301">
        <v>0.38</v>
      </c>
    </row>
    <row r="81" spans="4:13" x14ac:dyDescent="0.2">
      <c r="D81" s="119">
        <f t="shared" si="1"/>
        <v>41717</v>
      </c>
      <c r="M81" s="301">
        <v>0.38500000000000001</v>
      </c>
    </row>
    <row r="82" spans="4:13" x14ac:dyDescent="0.2">
      <c r="D82" s="119">
        <f t="shared" si="1"/>
        <v>41718</v>
      </c>
      <c r="M82" s="301">
        <v>0.39</v>
      </c>
    </row>
    <row r="83" spans="4:13" x14ac:dyDescent="0.2">
      <c r="D83" s="119">
        <f t="shared" si="1"/>
        <v>41719</v>
      </c>
      <c r="M83" s="301">
        <v>0.39500000000000002</v>
      </c>
    </row>
    <row r="84" spans="4:13" x14ac:dyDescent="0.2">
      <c r="D84" s="119">
        <f t="shared" si="1"/>
        <v>41720</v>
      </c>
      <c r="M84" s="301">
        <v>0.4</v>
      </c>
    </row>
    <row r="85" spans="4:13" x14ac:dyDescent="0.2">
      <c r="D85" s="119">
        <f t="shared" si="1"/>
        <v>41721</v>
      </c>
      <c r="M85" s="301">
        <v>0.40500000000000003</v>
      </c>
    </row>
    <row r="86" spans="4:13" x14ac:dyDescent="0.2">
      <c r="D86" s="119">
        <f t="shared" si="1"/>
        <v>41722</v>
      </c>
      <c r="M86" s="301">
        <v>0.41</v>
      </c>
    </row>
    <row r="87" spans="4:13" x14ac:dyDescent="0.2">
      <c r="D87" s="119">
        <f t="shared" si="1"/>
        <v>41723</v>
      </c>
      <c r="M87" s="301">
        <v>0.41499999999999998</v>
      </c>
    </row>
    <row r="88" spans="4:13" x14ac:dyDescent="0.2">
      <c r="D88" s="119">
        <f t="shared" si="1"/>
        <v>41724</v>
      </c>
      <c r="M88" s="301">
        <v>0.42</v>
      </c>
    </row>
    <row r="89" spans="4:13" x14ac:dyDescent="0.2">
      <c r="D89" s="119">
        <f t="shared" si="1"/>
        <v>41725</v>
      </c>
      <c r="M89" s="301">
        <v>0.42499999999999999</v>
      </c>
    </row>
    <row r="90" spans="4:13" x14ac:dyDescent="0.2">
      <c r="D90" s="119">
        <f t="shared" si="1"/>
        <v>41726</v>
      </c>
      <c r="M90" s="301">
        <v>0.43</v>
      </c>
    </row>
    <row r="91" spans="4:13" x14ac:dyDescent="0.2">
      <c r="D91" s="119">
        <f t="shared" si="1"/>
        <v>41727</v>
      </c>
      <c r="M91" s="301">
        <v>0.435</v>
      </c>
    </row>
    <row r="92" spans="4:13" x14ac:dyDescent="0.2">
      <c r="D92" s="119">
        <f t="shared" si="1"/>
        <v>41728</v>
      </c>
      <c r="M92" s="301">
        <v>0.44</v>
      </c>
    </row>
    <row r="93" spans="4:13" x14ac:dyDescent="0.2">
      <c r="D93" s="119">
        <f t="shared" si="1"/>
        <v>41729</v>
      </c>
      <c r="M93" s="301">
        <v>0.44500000000000001</v>
      </c>
    </row>
    <row r="94" spans="4:13" x14ac:dyDescent="0.2">
      <c r="D94" s="119">
        <f t="shared" si="1"/>
        <v>41730</v>
      </c>
      <c r="M94" s="301">
        <v>0.45</v>
      </c>
    </row>
    <row r="95" spans="4:13" x14ac:dyDescent="0.2">
      <c r="D95" s="119">
        <f t="shared" si="1"/>
        <v>41731</v>
      </c>
      <c r="M95" s="301">
        <v>0.45500000000000002</v>
      </c>
    </row>
    <row r="96" spans="4:13" x14ac:dyDescent="0.2">
      <c r="D96" s="119">
        <f t="shared" si="1"/>
        <v>41732</v>
      </c>
      <c r="M96" s="301">
        <v>0.46</v>
      </c>
    </row>
    <row r="97" spans="4:13" x14ac:dyDescent="0.2">
      <c r="D97" s="119">
        <f t="shared" si="1"/>
        <v>41733</v>
      </c>
      <c r="M97" s="301">
        <v>0.46500000000000002</v>
      </c>
    </row>
    <row r="98" spans="4:13" x14ac:dyDescent="0.2">
      <c r="D98" s="119">
        <f t="shared" si="1"/>
        <v>41734</v>
      </c>
      <c r="M98" s="301">
        <v>0.47</v>
      </c>
    </row>
    <row r="99" spans="4:13" x14ac:dyDescent="0.2">
      <c r="D99" s="119">
        <f t="shared" si="1"/>
        <v>41735</v>
      </c>
      <c r="M99" s="301">
        <v>0.47499999999999998</v>
      </c>
    </row>
    <row r="100" spans="4:13" x14ac:dyDescent="0.2">
      <c r="D100" s="119">
        <f t="shared" si="1"/>
        <v>41736</v>
      </c>
      <c r="M100" s="301">
        <v>0.48</v>
      </c>
    </row>
    <row r="101" spans="4:13" x14ac:dyDescent="0.2">
      <c r="D101" s="119">
        <f t="shared" si="1"/>
        <v>41737</v>
      </c>
      <c r="M101" s="301">
        <v>0.48499999999999999</v>
      </c>
    </row>
    <row r="102" spans="4:13" x14ac:dyDescent="0.2">
      <c r="D102" s="119">
        <f t="shared" si="1"/>
        <v>41738</v>
      </c>
      <c r="M102" s="301">
        <v>0.49</v>
      </c>
    </row>
    <row r="103" spans="4:13" x14ac:dyDescent="0.2">
      <c r="D103" s="119">
        <f t="shared" si="1"/>
        <v>41739</v>
      </c>
      <c r="M103" s="301">
        <v>0.495</v>
      </c>
    </row>
    <row r="104" spans="4:13" x14ac:dyDescent="0.2">
      <c r="D104" s="119">
        <f t="shared" si="1"/>
        <v>41740</v>
      </c>
      <c r="M104" s="301">
        <v>0.5</v>
      </c>
    </row>
    <row r="105" spans="4:13" x14ac:dyDescent="0.2">
      <c r="D105" s="119">
        <f t="shared" si="1"/>
        <v>41741</v>
      </c>
      <c r="M105" s="301">
        <v>0.505</v>
      </c>
    </row>
    <row r="106" spans="4:13" x14ac:dyDescent="0.2">
      <c r="D106" s="119">
        <f t="shared" si="1"/>
        <v>41742</v>
      </c>
      <c r="M106" s="301">
        <v>0.51</v>
      </c>
    </row>
    <row r="107" spans="4:13" x14ac:dyDescent="0.2">
      <c r="D107" s="119">
        <f t="shared" si="1"/>
        <v>41743</v>
      </c>
      <c r="M107" s="301">
        <v>0.51500000000000001</v>
      </c>
    </row>
    <row r="108" spans="4:13" x14ac:dyDescent="0.2">
      <c r="D108" s="119">
        <f t="shared" si="1"/>
        <v>41744</v>
      </c>
      <c r="M108" s="301">
        <v>0.52</v>
      </c>
    </row>
    <row r="109" spans="4:13" x14ac:dyDescent="0.2">
      <c r="D109" s="119">
        <f t="shared" si="1"/>
        <v>41745</v>
      </c>
      <c r="M109" s="301">
        <v>0.52500000000000002</v>
      </c>
    </row>
    <row r="110" spans="4:13" x14ac:dyDescent="0.2">
      <c r="D110" s="119">
        <f t="shared" si="1"/>
        <v>41746</v>
      </c>
      <c r="M110" s="301">
        <v>0.53</v>
      </c>
    </row>
    <row r="111" spans="4:13" x14ac:dyDescent="0.2">
      <c r="D111" s="119">
        <f t="shared" si="1"/>
        <v>41747</v>
      </c>
      <c r="M111" s="301">
        <v>0.53500000000000003</v>
      </c>
    </row>
    <row r="112" spans="4:13" x14ac:dyDescent="0.2">
      <c r="D112" s="119">
        <f t="shared" si="1"/>
        <v>41748</v>
      </c>
      <c r="M112" s="301">
        <v>0.54</v>
      </c>
    </row>
    <row r="113" spans="4:13" x14ac:dyDescent="0.2">
      <c r="D113" s="119">
        <f t="shared" si="1"/>
        <v>41749</v>
      </c>
      <c r="M113" s="301">
        <v>0.54500000000000004</v>
      </c>
    </row>
    <row r="114" spans="4:13" x14ac:dyDescent="0.2">
      <c r="D114" s="119">
        <f t="shared" si="1"/>
        <v>41750</v>
      </c>
      <c r="M114" s="301">
        <v>0.55000000000000004</v>
      </c>
    </row>
    <row r="115" spans="4:13" x14ac:dyDescent="0.2">
      <c r="D115" s="119">
        <f t="shared" si="1"/>
        <v>41751</v>
      </c>
      <c r="M115" s="301">
        <v>0.55500000000000005</v>
      </c>
    </row>
    <row r="116" spans="4:13" x14ac:dyDescent="0.2">
      <c r="D116" s="119">
        <f t="shared" si="1"/>
        <v>41752</v>
      </c>
      <c r="M116" s="301">
        <v>0.56000000000000005</v>
      </c>
    </row>
    <row r="117" spans="4:13" x14ac:dyDescent="0.2">
      <c r="D117" s="119">
        <f t="shared" si="1"/>
        <v>41753</v>
      </c>
      <c r="M117" s="301">
        <v>0.56499999999999995</v>
      </c>
    </row>
    <row r="118" spans="4:13" x14ac:dyDescent="0.2">
      <c r="D118" s="119">
        <f t="shared" si="1"/>
        <v>41754</v>
      </c>
      <c r="M118" s="301">
        <v>0.56999999999999995</v>
      </c>
    </row>
    <row r="119" spans="4:13" x14ac:dyDescent="0.2">
      <c r="D119" s="119">
        <f t="shared" si="1"/>
        <v>41755</v>
      </c>
      <c r="M119" s="301">
        <v>0.57499999999999996</v>
      </c>
    </row>
    <row r="120" spans="4:13" x14ac:dyDescent="0.2">
      <c r="D120" s="119">
        <f t="shared" si="1"/>
        <v>41756</v>
      </c>
      <c r="M120" s="301">
        <v>0.57999999999999996</v>
      </c>
    </row>
    <row r="121" spans="4:13" x14ac:dyDescent="0.2">
      <c r="D121" s="119">
        <f t="shared" si="1"/>
        <v>41757</v>
      </c>
      <c r="M121" s="301">
        <v>0.58499999999999996</v>
      </c>
    </row>
    <row r="122" spans="4:13" x14ac:dyDescent="0.2">
      <c r="D122" s="119">
        <f t="shared" si="1"/>
        <v>41758</v>
      </c>
      <c r="M122" s="301">
        <v>0.59</v>
      </c>
    </row>
    <row r="123" spans="4:13" x14ac:dyDescent="0.2">
      <c r="D123" s="119">
        <f t="shared" si="1"/>
        <v>41759</v>
      </c>
      <c r="M123" s="301">
        <v>0.59499999999999997</v>
      </c>
    </row>
    <row r="124" spans="4:13" x14ac:dyDescent="0.2">
      <c r="D124" s="119">
        <f t="shared" si="1"/>
        <v>41760</v>
      </c>
      <c r="M124" s="301">
        <v>0.6</v>
      </c>
    </row>
    <row r="125" spans="4:13" x14ac:dyDescent="0.2">
      <c r="D125" s="119">
        <f t="shared" si="1"/>
        <v>41761</v>
      </c>
      <c r="M125" s="301">
        <v>0.60499999999999998</v>
      </c>
    </row>
    <row r="126" spans="4:13" x14ac:dyDescent="0.2">
      <c r="D126" s="119">
        <f t="shared" si="1"/>
        <v>41762</v>
      </c>
      <c r="M126" s="301">
        <v>0.61</v>
      </c>
    </row>
    <row r="127" spans="4:13" x14ac:dyDescent="0.2">
      <c r="D127" s="119">
        <f t="shared" si="1"/>
        <v>41763</v>
      </c>
      <c r="M127" s="301">
        <v>0.61499999999999999</v>
      </c>
    </row>
    <row r="128" spans="4:13" x14ac:dyDescent="0.2">
      <c r="D128" s="119">
        <f t="shared" si="1"/>
        <v>41764</v>
      </c>
      <c r="M128" s="301">
        <v>0.62</v>
      </c>
    </row>
    <row r="129" spans="4:13" x14ac:dyDescent="0.2">
      <c r="D129" s="119">
        <f t="shared" si="1"/>
        <v>41765</v>
      </c>
      <c r="M129" s="301">
        <v>0.625</v>
      </c>
    </row>
    <row r="130" spans="4:13" x14ac:dyDescent="0.2">
      <c r="D130" s="119">
        <f t="shared" si="1"/>
        <v>41766</v>
      </c>
      <c r="M130" s="301">
        <v>0.63</v>
      </c>
    </row>
    <row r="131" spans="4:13" x14ac:dyDescent="0.2">
      <c r="D131" s="119">
        <f t="shared" si="1"/>
        <v>41767</v>
      </c>
      <c r="M131" s="301">
        <v>0.63500000000000001</v>
      </c>
    </row>
    <row r="132" spans="4:13" x14ac:dyDescent="0.2">
      <c r="D132" s="119">
        <f t="shared" si="1"/>
        <v>41768</v>
      </c>
      <c r="M132" s="301">
        <v>0.64</v>
      </c>
    </row>
    <row r="133" spans="4:13" x14ac:dyDescent="0.2">
      <c r="D133" s="119">
        <f t="shared" si="1"/>
        <v>41769</v>
      </c>
      <c r="M133" s="301">
        <v>0.64500000000000002</v>
      </c>
    </row>
    <row r="134" spans="4:13" x14ac:dyDescent="0.2">
      <c r="D134" s="119">
        <f t="shared" ref="D134:D197" si="2">+D133+1</f>
        <v>41770</v>
      </c>
      <c r="M134" s="301">
        <v>0.65</v>
      </c>
    </row>
    <row r="135" spans="4:13" x14ac:dyDescent="0.2">
      <c r="D135" s="119">
        <f t="shared" si="2"/>
        <v>41771</v>
      </c>
      <c r="M135" s="301">
        <v>0.65500000000000003</v>
      </c>
    </row>
    <row r="136" spans="4:13" x14ac:dyDescent="0.2">
      <c r="D136" s="119">
        <f t="shared" si="2"/>
        <v>41772</v>
      </c>
      <c r="M136" s="301">
        <v>0.66</v>
      </c>
    </row>
    <row r="137" spans="4:13" x14ac:dyDescent="0.2">
      <c r="D137" s="119">
        <f t="shared" si="2"/>
        <v>41773</v>
      </c>
      <c r="M137" s="301">
        <v>0.66500000000000004</v>
      </c>
    </row>
    <row r="138" spans="4:13" x14ac:dyDescent="0.2">
      <c r="D138" s="119">
        <f t="shared" si="2"/>
        <v>41774</v>
      </c>
      <c r="M138" s="301">
        <v>0.67</v>
      </c>
    </row>
    <row r="139" spans="4:13" x14ac:dyDescent="0.2">
      <c r="D139" s="119">
        <f t="shared" si="2"/>
        <v>41775</v>
      </c>
      <c r="M139" s="301">
        <v>0.67500000000000004</v>
      </c>
    </row>
    <row r="140" spans="4:13" x14ac:dyDescent="0.2">
      <c r="D140" s="119">
        <f t="shared" si="2"/>
        <v>41776</v>
      </c>
      <c r="M140" s="301">
        <v>0.68</v>
      </c>
    </row>
    <row r="141" spans="4:13" x14ac:dyDescent="0.2">
      <c r="D141" s="119">
        <f t="shared" si="2"/>
        <v>41777</v>
      </c>
      <c r="M141" s="301">
        <v>0.68500000000000005</v>
      </c>
    </row>
    <row r="142" spans="4:13" x14ac:dyDescent="0.2">
      <c r="D142" s="119">
        <f t="shared" si="2"/>
        <v>41778</v>
      </c>
      <c r="M142" s="301">
        <v>0.69</v>
      </c>
    </row>
    <row r="143" spans="4:13" x14ac:dyDescent="0.2">
      <c r="D143" s="119">
        <f t="shared" si="2"/>
        <v>41779</v>
      </c>
      <c r="M143" s="301">
        <v>0.69499999999999995</v>
      </c>
    </row>
    <row r="144" spans="4:13" x14ac:dyDescent="0.2">
      <c r="D144" s="119">
        <f t="shared" si="2"/>
        <v>41780</v>
      </c>
      <c r="M144" s="301">
        <v>0.7</v>
      </c>
    </row>
    <row r="145" spans="4:13" x14ac:dyDescent="0.2">
      <c r="D145" s="119">
        <f t="shared" si="2"/>
        <v>41781</v>
      </c>
      <c r="M145" s="301">
        <v>0.70499999999999996</v>
      </c>
    </row>
    <row r="146" spans="4:13" x14ac:dyDescent="0.2">
      <c r="D146" s="119">
        <f t="shared" si="2"/>
        <v>41782</v>
      </c>
      <c r="M146" s="301">
        <v>0.71</v>
      </c>
    </row>
    <row r="147" spans="4:13" x14ac:dyDescent="0.2">
      <c r="D147" s="119">
        <f t="shared" si="2"/>
        <v>41783</v>
      </c>
      <c r="M147" s="301">
        <v>0.71499999999999997</v>
      </c>
    </row>
    <row r="148" spans="4:13" x14ac:dyDescent="0.2">
      <c r="D148" s="119">
        <f t="shared" si="2"/>
        <v>41784</v>
      </c>
      <c r="M148" s="301">
        <v>0.72</v>
      </c>
    </row>
    <row r="149" spans="4:13" x14ac:dyDescent="0.2">
      <c r="D149" s="119">
        <f t="shared" si="2"/>
        <v>41785</v>
      </c>
      <c r="M149" s="301">
        <v>0.72499999999999998</v>
      </c>
    </row>
    <row r="150" spans="4:13" x14ac:dyDescent="0.2">
      <c r="D150" s="119">
        <f t="shared" si="2"/>
        <v>41786</v>
      </c>
      <c r="M150" s="301">
        <v>0.73</v>
      </c>
    </row>
    <row r="151" spans="4:13" x14ac:dyDescent="0.2">
      <c r="D151" s="119">
        <f t="shared" si="2"/>
        <v>41787</v>
      </c>
      <c r="M151" s="301">
        <v>0.73499999999999999</v>
      </c>
    </row>
    <row r="152" spans="4:13" x14ac:dyDescent="0.2">
      <c r="D152" s="119">
        <f t="shared" si="2"/>
        <v>41788</v>
      </c>
      <c r="M152" s="301">
        <v>0.74</v>
      </c>
    </row>
    <row r="153" spans="4:13" x14ac:dyDescent="0.2">
      <c r="D153" s="119">
        <f t="shared" si="2"/>
        <v>41789</v>
      </c>
      <c r="M153" s="301">
        <v>0.745</v>
      </c>
    </row>
    <row r="154" spans="4:13" x14ac:dyDescent="0.2">
      <c r="D154" s="119">
        <f t="shared" si="2"/>
        <v>41790</v>
      </c>
      <c r="M154" s="301">
        <v>0.75</v>
      </c>
    </row>
    <row r="155" spans="4:13" x14ac:dyDescent="0.2">
      <c r="D155" s="119">
        <f t="shared" si="2"/>
        <v>41791</v>
      </c>
      <c r="M155" s="301">
        <v>0.755</v>
      </c>
    </row>
    <row r="156" spans="4:13" x14ac:dyDescent="0.2">
      <c r="D156" s="119">
        <f t="shared" si="2"/>
        <v>41792</v>
      </c>
      <c r="M156" s="301">
        <v>0.76</v>
      </c>
    </row>
    <row r="157" spans="4:13" x14ac:dyDescent="0.2">
      <c r="D157" s="119">
        <f t="shared" si="2"/>
        <v>41793</v>
      </c>
      <c r="M157" s="301">
        <v>0.76500000000000001</v>
      </c>
    </row>
    <row r="158" spans="4:13" x14ac:dyDescent="0.2">
      <c r="D158" s="119">
        <f t="shared" si="2"/>
        <v>41794</v>
      </c>
      <c r="M158" s="301">
        <v>0.77</v>
      </c>
    </row>
    <row r="159" spans="4:13" x14ac:dyDescent="0.2">
      <c r="D159" s="119">
        <f t="shared" si="2"/>
        <v>41795</v>
      </c>
      <c r="M159" s="301">
        <v>0.77500000000000002</v>
      </c>
    </row>
    <row r="160" spans="4:13" x14ac:dyDescent="0.2">
      <c r="D160" s="119">
        <f t="shared" si="2"/>
        <v>41796</v>
      </c>
      <c r="M160" s="301">
        <v>0.78</v>
      </c>
    </row>
    <row r="161" spans="4:13" x14ac:dyDescent="0.2">
      <c r="D161" s="119">
        <f t="shared" si="2"/>
        <v>41797</v>
      </c>
      <c r="M161" s="301">
        <v>0.78500000000000003</v>
      </c>
    </row>
    <row r="162" spans="4:13" x14ac:dyDescent="0.2">
      <c r="D162" s="119">
        <f t="shared" si="2"/>
        <v>41798</v>
      </c>
      <c r="M162" s="301">
        <v>0.79</v>
      </c>
    </row>
    <row r="163" spans="4:13" x14ac:dyDescent="0.2">
      <c r="D163" s="119">
        <f t="shared" si="2"/>
        <v>41799</v>
      </c>
      <c r="M163" s="301">
        <v>0.79500000000000004</v>
      </c>
    </row>
    <row r="164" spans="4:13" x14ac:dyDescent="0.2">
      <c r="D164" s="119">
        <f t="shared" si="2"/>
        <v>41800</v>
      </c>
      <c r="M164" s="301">
        <v>0.8</v>
      </c>
    </row>
    <row r="165" spans="4:13" x14ac:dyDescent="0.2">
      <c r="D165" s="119">
        <f t="shared" si="2"/>
        <v>41801</v>
      </c>
      <c r="M165" s="301">
        <v>0.80500000000000005</v>
      </c>
    </row>
    <row r="166" spans="4:13" x14ac:dyDescent="0.2">
      <c r="D166" s="119">
        <f t="shared" si="2"/>
        <v>41802</v>
      </c>
      <c r="M166" s="301">
        <v>0.81</v>
      </c>
    </row>
    <row r="167" spans="4:13" x14ac:dyDescent="0.2">
      <c r="D167" s="119">
        <f t="shared" si="2"/>
        <v>41803</v>
      </c>
      <c r="M167" s="301">
        <v>0.81499999999999995</v>
      </c>
    </row>
    <row r="168" spans="4:13" x14ac:dyDescent="0.2">
      <c r="D168" s="119">
        <f t="shared" si="2"/>
        <v>41804</v>
      </c>
      <c r="M168" s="301">
        <v>0.82</v>
      </c>
    </row>
    <row r="169" spans="4:13" x14ac:dyDescent="0.2">
      <c r="D169" s="119">
        <f t="shared" si="2"/>
        <v>41805</v>
      </c>
      <c r="M169" s="301">
        <v>0.82499999999999996</v>
      </c>
    </row>
    <row r="170" spans="4:13" x14ac:dyDescent="0.2">
      <c r="D170" s="119">
        <f t="shared" si="2"/>
        <v>41806</v>
      </c>
      <c r="M170" s="301">
        <v>0.83</v>
      </c>
    </row>
    <row r="171" spans="4:13" x14ac:dyDescent="0.2">
      <c r="D171" s="119">
        <f t="shared" si="2"/>
        <v>41807</v>
      </c>
      <c r="M171" s="301">
        <v>0.83499999999999996</v>
      </c>
    </row>
    <row r="172" spans="4:13" x14ac:dyDescent="0.2">
      <c r="D172" s="119">
        <f t="shared" si="2"/>
        <v>41808</v>
      </c>
      <c r="M172" s="301">
        <v>0.84</v>
      </c>
    </row>
    <row r="173" spans="4:13" x14ac:dyDescent="0.2">
      <c r="D173" s="119">
        <f t="shared" si="2"/>
        <v>41809</v>
      </c>
      <c r="M173" s="301">
        <v>0.84499999999999997</v>
      </c>
    </row>
    <row r="174" spans="4:13" x14ac:dyDescent="0.2">
      <c r="D174" s="119">
        <f t="shared" si="2"/>
        <v>41810</v>
      </c>
      <c r="M174" s="301">
        <v>0.85</v>
      </c>
    </row>
    <row r="175" spans="4:13" x14ac:dyDescent="0.2">
      <c r="D175" s="119">
        <f t="shared" si="2"/>
        <v>41811</v>
      </c>
      <c r="M175" s="301">
        <v>0.85499999999999998</v>
      </c>
    </row>
    <row r="176" spans="4:13" x14ac:dyDescent="0.2">
      <c r="D176" s="119">
        <f t="shared" si="2"/>
        <v>41812</v>
      </c>
      <c r="M176" s="301">
        <v>0.86</v>
      </c>
    </row>
    <row r="177" spans="4:13" x14ac:dyDescent="0.2">
      <c r="D177" s="119">
        <f t="shared" si="2"/>
        <v>41813</v>
      </c>
      <c r="M177" s="301">
        <v>0.86499999999999999</v>
      </c>
    </row>
    <row r="178" spans="4:13" x14ac:dyDescent="0.2">
      <c r="D178" s="119">
        <f t="shared" si="2"/>
        <v>41814</v>
      </c>
      <c r="M178" s="301">
        <v>0.87</v>
      </c>
    </row>
    <row r="179" spans="4:13" x14ac:dyDescent="0.2">
      <c r="D179" s="119">
        <f t="shared" si="2"/>
        <v>41815</v>
      </c>
      <c r="M179" s="301">
        <v>0.875</v>
      </c>
    </row>
    <row r="180" spans="4:13" x14ac:dyDescent="0.2">
      <c r="D180" s="119">
        <f t="shared" si="2"/>
        <v>41816</v>
      </c>
      <c r="M180" s="301">
        <v>0.88</v>
      </c>
    </row>
    <row r="181" spans="4:13" x14ac:dyDescent="0.2">
      <c r="D181" s="119">
        <f t="shared" si="2"/>
        <v>41817</v>
      </c>
      <c r="M181" s="301">
        <v>0.88500000000000001</v>
      </c>
    </row>
    <row r="182" spans="4:13" x14ac:dyDescent="0.2">
      <c r="D182" s="119">
        <f t="shared" si="2"/>
        <v>41818</v>
      </c>
      <c r="M182" s="301">
        <v>0.89</v>
      </c>
    </row>
    <row r="183" spans="4:13" x14ac:dyDescent="0.2">
      <c r="D183" s="119">
        <f t="shared" si="2"/>
        <v>41819</v>
      </c>
      <c r="M183" s="301">
        <v>0.89500000000000002</v>
      </c>
    </row>
    <row r="184" spans="4:13" x14ac:dyDescent="0.2">
      <c r="D184" s="119">
        <f t="shared" si="2"/>
        <v>41820</v>
      </c>
      <c r="M184" s="301">
        <v>0.9</v>
      </c>
    </row>
    <row r="185" spans="4:13" x14ac:dyDescent="0.2">
      <c r="D185" s="119">
        <f t="shared" si="2"/>
        <v>41821</v>
      </c>
      <c r="M185" s="301">
        <v>0.90500000000000003</v>
      </c>
    </row>
    <row r="186" spans="4:13" x14ac:dyDescent="0.2">
      <c r="D186" s="119">
        <f t="shared" si="2"/>
        <v>41822</v>
      </c>
      <c r="M186" s="301">
        <v>0.91</v>
      </c>
    </row>
    <row r="187" spans="4:13" x14ac:dyDescent="0.2">
      <c r="D187" s="119">
        <f t="shared" si="2"/>
        <v>41823</v>
      </c>
      <c r="M187" s="301">
        <v>0.91500000000000004</v>
      </c>
    </row>
    <row r="188" spans="4:13" x14ac:dyDescent="0.2">
      <c r="D188" s="119">
        <f t="shared" si="2"/>
        <v>41824</v>
      </c>
      <c r="M188" s="301">
        <v>0.92</v>
      </c>
    </row>
    <row r="189" spans="4:13" x14ac:dyDescent="0.2">
      <c r="D189" s="119">
        <f t="shared" si="2"/>
        <v>41825</v>
      </c>
      <c r="M189" s="301">
        <v>0.92500000000000004</v>
      </c>
    </row>
    <row r="190" spans="4:13" x14ac:dyDescent="0.2">
      <c r="D190" s="119">
        <f t="shared" si="2"/>
        <v>41826</v>
      </c>
      <c r="M190" s="301">
        <v>0.93</v>
      </c>
    </row>
    <row r="191" spans="4:13" x14ac:dyDescent="0.2">
      <c r="D191" s="119">
        <f t="shared" si="2"/>
        <v>41827</v>
      </c>
      <c r="M191" s="301">
        <v>0.93500000000000005</v>
      </c>
    </row>
    <row r="192" spans="4:13" x14ac:dyDescent="0.2">
      <c r="D192" s="119">
        <f t="shared" si="2"/>
        <v>41828</v>
      </c>
      <c r="M192" s="301">
        <v>0.94</v>
      </c>
    </row>
    <row r="193" spans="4:13" x14ac:dyDescent="0.2">
      <c r="D193" s="119">
        <f t="shared" si="2"/>
        <v>41829</v>
      </c>
      <c r="M193" s="301">
        <v>0.94499999999999995</v>
      </c>
    </row>
    <row r="194" spans="4:13" x14ac:dyDescent="0.2">
      <c r="D194" s="119">
        <f t="shared" si="2"/>
        <v>41830</v>
      </c>
      <c r="M194" s="301">
        <v>0.95</v>
      </c>
    </row>
    <row r="195" spans="4:13" x14ac:dyDescent="0.2">
      <c r="D195" s="119">
        <f t="shared" si="2"/>
        <v>41831</v>
      </c>
      <c r="M195" s="301">
        <v>0.95499999999999996</v>
      </c>
    </row>
    <row r="196" spans="4:13" x14ac:dyDescent="0.2">
      <c r="D196" s="119">
        <f t="shared" si="2"/>
        <v>41832</v>
      </c>
      <c r="M196" s="301">
        <v>0.96</v>
      </c>
    </row>
    <row r="197" spans="4:13" x14ac:dyDescent="0.2">
      <c r="D197" s="119">
        <f t="shared" si="2"/>
        <v>41833</v>
      </c>
      <c r="M197" s="301">
        <v>0.96499999999999997</v>
      </c>
    </row>
    <row r="198" spans="4:13" x14ac:dyDescent="0.2">
      <c r="D198" s="119">
        <f t="shared" ref="D198:D261" si="3">+D197+1</f>
        <v>41834</v>
      </c>
      <c r="M198" s="301">
        <v>0.97</v>
      </c>
    </row>
    <row r="199" spans="4:13" x14ac:dyDescent="0.2">
      <c r="D199" s="119">
        <f t="shared" si="3"/>
        <v>41835</v>
      </c>
      <c r="M199" s="301">
        <v>0.97499999999999998</v>
      </c>
    </row>
    <row r="200" spans="4:13" x14ac:dyDescent="0.2">
      <c r="D200" s="119">
        <f t="shared" si="3"/>
        <v>41836</v>
      </c>
      <c r="M200" s="301">
        <v>0.98</v>
      </c>
    </row>
    <row r="201" spans="4:13" x14ac:dyDescent="0.2">
      <c r="D201" s="119">
        <f t="shared" si="3"/>
        <v>41837</v>
      </c>
      <c r="M201" s="301">
        <v>0.98499999999999999</v>
      </c>
    </row>
    <row r="202" spans="4:13" x14ac:dyDescent="0.2">
      <c r="D202" s="119">
        <f t="shared" si="3"/>
        <v>41838</v>
      </c>
      <c r="M202" s="301">
        <v>0.99</v>
      </c>
    </row>
    <row r="203" spans="4:13" x14ac:dyDescent="0.2">
      <c r="D203" s="119">
        <f t="shared" si="3"/>
        <v>41839</v>
      </c>
      <c r="M203" s="301">
        <v>0.995</v>
      </c>
    </row>
    <row r="204" spans="4:13" ht="13.5" thickBot="1" x14ac:dyDescent="0.25">
      <c r="D204" s="119">
        <f t="shared" si="3"/>
        <v>41840</v>
      </c>
      <c r="M204" s="302">
        <v>1</v>
      </c>
    </row>
    <row r="205" spans="4:13" x14ac:dyDescent="0.2">
      <c r="D205" s="119">
        <f t="shared" si="3"/>
        <v>41841</v>
      </c>
    </row>
    <row r="206" spans="4:13" x14ac:dyDescent="0.2">
      <c r="D206" s="119">
        <f t="shared" si="3"/>
        <v>41842</v>
      </c>
    </row>
    <row r="207" spans="4:13" x14ac:dyDescent="0.2">
      <c r="D207" s="119">
        <f t="shared" si="3"/>
        <v>41843</v>
      </c>
    </row>
    <row r="208" spans="4:13" x14ac:dyDescent="0.2">
      <c r="D208" s="119">
        <f t="shared" si="3"/>
        <v>41844</v>
      </c>
    </row>
    <row r="209" spans="4:4" x14ac:dyDescent="0.2">
      <c r="D209" s="119">
        <f t="shared" si="3"/>
        <v>41845</v>
      </c>
    </row>
    <row r="210" spans="4:4" x14ac:dyDescent="0.2">
      <c r="D210" s="119">
        <f t="shared" si="3"/>
        <v>41846</v>
      </c>
    </row>
    <row r="211" spans="4:4" x14ac:dyDescent="0.2">
      <c r="D211" s="119">
        <f t="shared" si="3"/>
        <v>41847</v>
      </c>
    </row>
    <row r="212" spans="4:4" x14ac:dyDescent="0.2">
      <c r="D212" s="119">
        <f t="shared" si="3"/>
        <v>41848</v>
      </c>
    </row>
    <row r="213" spans="4:4" x14ac:dyDescent="0.2">
      <c r="D213" s="119">
        <f t="shared" si="3"/>
        <v>41849</v>
      </c>
    </row>
    <row r="214" spans="4:4" x14ac:dyDescent="0.2">
      <c r="D214" s="119">
        <f t="shared" si="3"/>
        <v>41850</v>
      </c>
    </row>
    <row r="215" spans="4:4" x14ac:dyDescent="0.2">
      <c r="D215" s="119">
        <f t="shared" si="3"/>
        <v>41851</v>
      </c>
    </row>
    <row r="216" spans="4:4" x14ac:dyDescent="0.2">
      <c r="D216" s="119">
        <f t="shared" si="3"/>
        <v>41852</v>
      </c>
    </row>
    <row r="217" spans="4:4" x14ac:dyDescent="0.2">
      <c r="D217" s="119">
        <f t="shared" si="3"/>
        <v>41853</v>
      </c>
    </row>
    <row r="218" spans="4:4" x14ac:dyDescent="0.2">
      <c r="D218" s="119">
        <f t="shared" si="3"/>
        <v>41854</v>
      </c>
    </row>
    <row r="219" spans="4:4" x14ac:dyDescent="0.2">
      <c r="D219" s="119">
        <f t="shared" si="3"/>
        <v>41855</v>
      </c>
    </row>
    <row r="220" spans="4:4" x14ac:dyDescent="0.2">
      <c r="D220" s="119">
        <f t="shared" si="3"/>
        <v>41856</v>
      </c>
    </row>
    <row r="221" spans="4:4" x14ac:dyDescent="0.2">
      <c r="D221" s="119">
        <f t="shared" si="3"/>
        <v>41857</v>
      </c>
    </row>
    <row r="222" spans="4:4" x14ac:dyDescent="0.2">
      <c r="D222" s="119">
        <f t="shared" si="3"/>
        <v>41858</v>
      </c>
    </row>
    <row r="223" spans="4:4" x14ac:dyDescent="0.2">
      <c r="D223" s="119">
        <f t="shared" si="3"/>
        <v>41859</v>
      </c>
    </row>
    <row r="224" spans="4:4" x14ac:dyDescent="0.2">
      <c r="D224" s="119">
        <f t="shared" si="3"/>
        <v>41860</v>
      </c>
    </row>
    <row r="225" spans="4:4" x14ac:dyDescent="0.2">
      <c r="D225" s="119">
        <f t="shared" si="3"/>
        <v>41861</v>
      </c>
    </row>
    <row r="226" spans="4:4" x14ac:dyDescent="0.2">
      <c r="D226" s="119">
        <f t="shared" si="3"/>
        <v>41862</v>
      </c>
    </row>
    <row r="227" spans="4:4" x14ac:dyDescent="0.2">
      <c r="D227" s="119">
        <f t="shared" si="3"/>
        <v>41863</v>
      </c>
    </row>
    <row r="228" spans="4:4" x14ac:dyDescent="0.2">
      <c r="D228" s="119">
        <f t="shared" si="3"/>
        <v>41864</v>
      </c>
    </row>
    <row r="229" spans="4:4" x14ac:dyDescent="0.2">
      <c r="D229" s="119">
        <f t="shared" si="3"/>
        <v>41865</v>
      </c>
    </row>
    <row r="230" spans="4:4" x14ac:dyDescent="0.2">
      <c r="D230" s="119">
        <f t="shared" si="3"/>
        <v>41866</v>
      </c>
    </row>
    <row r="231" spans="4:4" x14ac:dyDescent="0.2">
      <c r="D231" s="119">
        <f t="shared" si="3"/>
        <v>41867</v>
      </c>
    </row>
    <row r="232" spans="4:4" x14ac:dyDescent="0.2">
      <c r="D232" s="119">
        <f t="shared" si="3"/>
        <v>41868</v>
      </c>
    </row>
    <row r="233" spans="4:4" x14ac:dyDescent="0.2">
      <c r="D233" s="119">
        <f t="shared" si="3"/>
        <v>41869</v>
      </c>
    </row>
    <row r="234" spans="4:4" x14ac:dyDescent="0.2">
      <c r="D234" s="119">
        <f t="shared" si="3"/>
        <v>41870</v>
      </c>
    </row>
    <row r="235" spans="4:4" x14ac:dyDescent="0.2">
      <c r="D235" s="119">
        <f t="shared" si="3"/>
        <v>41871</v>
      </c>
    </row>
    <row r="236" spans="4:4" x14ac:dyDescent="0.2">
      <c r="D236" s="119">
        <f t="shared" si="3"/>
        <v>41872</v>
      </c>
    </row>
    <row r="237" spans="4:4" x14ac:dyDescent="0.2">
      <c r="D237" s="119">
        <f t="shared" si="3"/>
        <v>41873</v>
      </c>
    </row>
    <row r="238" spans="4:4" x14ac:dyDescent="0.2">
      <c r="D238" s="119">
        <f t="shared" si="3"/>
        <v>41874</v>
      </c>
    </row>
    <row r="239" spans="4:4" x14ac:dyDescent="0.2">
      <c r="D239" s="119">
        <f t="shared" si="3"/>
        <v>41875</v>
      </c>
    </row>
    <row r="240" spans="4:4" x14ac:dyDescent="0.2">
      <c r="D240" s="119">
        <f t="shared" si="3"/>
        <v>41876</v>
      </c>
    </row>
    <row r="241" spans="4:4" x14ac:dyDescent="0.2">
      <c r="D241" s="119">
        <f t="shared" si="3"/>
        <v>41877</v>
      </c>
    </row>
    <row r="242" spans="4:4" x14ac:dyDescent="0.2">
      <c r="D242" s="119">
        <f t="shared" si="3"/>
        <v>41878</v>
      </c>
    </row>
    <row r="243" spans="4:4" x14ac:dyDescent="0.2">
      <c r="D243" s="119">
        <f t="shared" si="3"/>
        <v>41879</v>
      </c>
    </row>
    <row r="244" spans="4:4" x14ac:dyDescent="0.2">
      <c r="D244" s="119">
        <f t="shared" si="3"/>
        <v>41880</v>
      </c>
    </row>
    <row r="245" spans="4:4" x14ac:dyDescent="0.2">
      <c r="D245" s="119">
        <f t="shared" si="3"/>
        <v>41881</v>
      </c>
    </row>
    <row r="246" spans="4:4" x14ac:dyDescent="0.2">
      <c r="D246" s="119">
        <f t="shared" si="3"/>
        <v>41882</v>
      </c>
    </row>
    <row r="247" spans="4:4" x14ac:dyDescent="0.2">
      <c r="D247" s="119">
        <f t="shared" si="3"/>
        <v>41883</v>
      </c>
    </row>
    <row r="248" spans="4:4" x14ac:dyDescent="0.2">
      <c r="D248" s="119">
        <f t="shared" si="3"/>
        <v>41884</v>
      </c>
    </row>
    <row r="249" spans="4:4" x14ac:dyDescent="0.2">
      <c r="D249" s="119">
        <f t="shared" si="3"/>
        <v>41885</v>
      </c>
    </row>
    <row r="250" spans="4:4" x14ac:dyDescent="0.2">
      <c r="D250" s="119">
        <f t="shared" si="3"/>
        <v>41886</v>
      </c>
    </row>
    <row r="251" spans="4:4" x14ac:dyDescent="0.2">
      <c r="D251" s="119">
        <f t="shared" si="3"/>
        <v>41887</v>
      </c>
    </row>
    <row r="252" spans="4:4" x14ac:dyDescent="0.2">
      <c r="D252" s="119">
        <f t="shared" si="3"/>
        <v>41888</v>
      </c>
    </row>
    <row r="253" spans="4:4" x14ac:dyDescent="0.2">
      <c r="D253" s="119">
        <f t="shared" si="3"/>
        <v>41889</v>
      </c>
    </row>
    <row r="254" spans="4:4" x14ac:dyDescent="0.2">
      <c r="D254" s="119">
        <f t="shared" si="3"/>
        <v>41890</v>
      </c>
    </row>
    <row r="255" spans="4:4" x14ac:dyDescent="0.2">
      <c r="D255" s="119">
        <f t="shared" si="3"/>
        <v>41891</v>
      </c>
    </row>
    <row r="256" spans="4:4" x14ac:dyDescent="0.2">
      <c r="D256" s="119">
        <f t="shared" si="3"/>
        <v>41892</v>
      </c>
    </row>
    <row r="257" spans="4:4" x14ac:dyDescent="0.2">
      <c r="D257" s="119">
        <f t="shared" si="3"/>
        <v>41893</v>
      </c>
    </row>
    <row r="258" spans="4:4" x14ac:dyDescent="0.2">
      <c r="D258" s="119">
        <f t="shared" si="3"/>
        <v>41894</v>
      </c>
    </row>
    <row r="259" spans="4:4" x14ac:dyDescent="0.2">
      <c r="D259" s="119">
        <f t="shared" si="3"/>
        <v>41895</v>
      </c>
    </row>
    <row r="260" spans="4:4" x14ac:dyDescent="0.2">
      <c r="D260" s="119">
        <f t="shared" si="3"/>
        <v>41896</v>
      </c>
    </row>
    <row r="261" spans="4:4" x14ac:dyDescent="0.2">
      <c r="D261" s="119">
        <f t="shared" si="3"/>
        <v>41897</v>
      </c>
    </row>
    <row r="262" spans="4:4" x14ac:dyDescent="0.2">
      <c r="D262" s="119">
        <f t="shared" ref="D262:D325" si="4">+D261+1</f>
        <v>41898</v>
      </c>
    </row>
    <row r="263" spans="4:4" x14ac:dyDescent="0.2">
      <c r="D263" s="119">
        <f t="shared" si="4"/>
        <v>41899</v>
      </c>
    </row>
    <row r="264" spans="4:4" x14ac:dyDescent="0.2">
      <c r="D264" s="119">
        <f t="shared" si="4"/>
        <v>41900</v>
      </c>
    </row>
    <row r="265" spans="4:4" x14ac:dyDescent="0.2">
      <c r="D265" s="119">
        <f t="shared" si="4"/>
        <v>41901</v>
      </c>
    </row>
    <row r="266" spans="4:4" x14ac:dyDescent="0.2">
      <c r="D266" s="119">
        <f t="shared" si="4"/>
        <v>41902</v>
      </c>
    </row>
    <row r="267" spans="4:4" x14ac:dyDescent="0.2">
      <c r="D267" s="119">
        <f t="shared" si="4"/>
        <v>41903</v>
      </c>
    </row>
    <row r="268" spans="4:4" x14ac:dyDescent="0.2">
      <c r="D268" s="119">
        <f t="shared" si="4"/>
        <v>41904</v>
      </c>
    </row>
    <row r="269" spans="4:4" x14ac:dyDescent="0.2">
      <c r="D269" s="119">
        <f t="shared" si="4"/>
        <v>41905</v>
      </c>
    </row>
    <row r="270" spans="4:4" x14ac:dyDescent="0.2">
      <c r="D270" s="119">
        <f t="shared" si="4"/>
        <v>41906</v>
      </c>
    </row>
    <row r="271" spans="4:4" x14ac:dyDescent="0.2">
      <c r="D271" s="119">
        <f t="shared" si="4"/>
        <v>41907</v>
      </c>
    </row>
    <row r="272" spans="4:4" x14ac:dyDescent="0.2">
      <c r="D272" s="119">
        <f t="shared" si="4"/>
        <v>41908</v>
      </c>
    </row>
    <row r="273" spans="4:4" x14ac:dyDescent="0.2">
      <c r="D273" s="119">
        <f t="shared" si="4"/>
        <v>41909</v>
      </c>
    </row>
    <row r="274" spans="4:4" x14ac:dyDescent="0.2">
      <c r="D274" s="119">
        <f t="shared" si="4"/>
        <v>41910</v>
      </c>
    </row>
    <row r="275" spans="4:4" x14ac:dyDescent="0.2">
      <c r="D275" s="119">
        <f t="shared" si="4"/>
        <v>41911</v>
      </c>
    </row>
    <row r="276" spans="4:4" x14ac:dyDescent="0.2">
      <c r="D276" s="119">
        <f t="shared" si="4"/>
        <v>41912</v>
      </c>
    </row>
    <row r="277" spans="4:4" x14ac:dyDescent="0.2">
      <c r="D277" s="119">
        <f t="shared" si="4"/>
        <v>41913</v>
      </c>
    </row>
    <row r="278" spans="4:4" x14ac:dyDescent="0.2">
      <c r="D278" s="119">
        <f t="shared" si="4"/>
        <v>41914</v>
      </c>
    </row>
    <row r="279" spans="4:4" x14ac:dyDescent="0.2">
      <c r="D279" s="119">
        <f t="shared" si="4"/>
        <v>41915</v>
      </c>
    </row>
    <row r="280" spans="4:4" x14ac:dyDescent="0.2">
      <c r="D280" s="119">
        <f t="shared" si="4"/>
        <v>41916</v>
      </c>
    </row>
    <row r="281" spans="4:4" x14ac:dyDescent="0.2">
      <c r="D281" s="119">
        <f t="shared" si="4"/>
        <v>41917</v>
      </c>
    </row>
    <row r="282" spans="4:4" x14ac:dyDescent="0.2">
      <c r="D282" s="119">
        <f t="shared" si="4"/>
        <v>41918</v>
      </c>
    </row>
    <row r="283" spans="4:4" x14ac:dyDescent="0.2">
      <c r="D283" s="119">
        <f t="shared" si="4"/>
        <v>41919</v>
      </c>
    </row>
    <row r="284" spans="4:4" x14ac:dyDescent="0.2">
      <c r="D284" s="119">
        <f t="shared" si="4"/>
        <v>41920</v>
      </c>
    </row>
    <row r="285" spans="4:4" x14ac:dyDescent="0.2">
      <c r="D285" s="119">
        <f t="shared" si="4"/>
        <v>41921</v>
      </c>
    </row>
    <row r="286" spans="4:4" x14ac:dyDescent="0.2">
      <c r="D286" s="119">
        <f t="shared" si="4"/>
        <v>41922</v>
      </c>
    </row>
    <row r="287" spans="4:4" x14ac:dyDescent="0.2">
      <c r="D287" s="119">
        <f t="shared" si="4"/>
        <v>41923</v>
      </c>
    </row>
    <row r="288" spans="4:4" x14ac:dyDescent="0.2">
      <c r="D288" s="119">
        <f t="shared" si="4"/>
        <v>41924</v>
      </c>
    </row>
    <row r="289" spans="4:4" x14ac:dyDescent="0.2">
      <c r="D289" s="119">
        <f t="shared" si="4"/>
        <v>41925</v>
      </c>
    </row>
    <row r="290" spans="4:4" x14ac:dyDescent="0.2">
      <c r="D290" s="119">
        <f t="shared" si="4"/>
        <v>41926</v>
      </c>
    </row>
    <row r="291" spans="4:4" x14ac:dyDescent="0.2">
      <c r="D291" s="119">
        <f t="shared" si="4"/>
        <v>41927</v>
      </c>
    </row>
    <row r="292" spans="4:4" x14ac:dyDescent="0.2">
      <c r="D292" s="119">
        <f t="shared" si="4"/>
        <v>41928</v>
      </c>
    </row>
    <row r="293" spans="4:4" x14ac:dyDescent="0.2">
      <c r="D293" s="119">
        <f t="shared" si="4"/>
        <v>41929</v>
      </c>
    </row>
    <row r="294" spans="4:4" x14ac:dyDescent="0.2">
      <c r="D294" s="119">
        <f t="shared" si="4"/>
        <v>41930</v>
      </c>
    </row>
    <row r="295" spans="4:4" x14ac:dyDescent="0.2">
      <c r="D295" s="119">
        <f t="shared" si="4"/>
        <v>41931</v>
      </c>
    </row>
    <row r="296" spans="4:4" x14ac:dyDescent="0.2">
      <c r="D296" s="119">
        <f t="shared" si="4"/>
        <v>41932</v>
      </c>
    </row>
    <row r="297" spans="4:4" x14ac:dyDescent="0.2">
      <c r="D297" s="119">
        <f t="shared" si="4"/>
        <v>41933</v>
      </c>
    </row>
    <row r="298" spans="4:4" x14ac:dyDescent="0.2">
      <c r="D298" s="119">
        <f t="shared" si="4"/>
        <v>41934</v>
      </c>
    </row>
    <row r="299" spans="4:4" x14ac:dyDescent="0.2">
      <c r="D299" s="119">
        <f t="shared" si="4"/>
        <v>41935</v>
      </c>
    </row>
    <row r="300" spans="4:4" x14ac:dyDescent="0.2">
      <c r="D300" s="119">
        <f t="shared" si="4"/>
        <v>41936</v>
      </c>
    </row>
    <row r="301" spans="4:4" x14ac:dyDescent="0.2">
      <c r="D301" s="119">
        <f t="shared" si="4"/>
        <v>41937</v>
      </c>
    </row>
    <row r="302" spans="4:4" x14ac:dyDescent="0.2">
      <c r="D302" s="119">
        <f t="shared" si="4"/>
        <v>41938</v>
      </c>
    </row>
    <row r="303" spans="4:4" x14ac:dyDescent="0.2">
      <c r="D303" s="119">
        <f t="shared" si="4"/>
        <v>41939</v>
      </c>
    </row>
    <row r="304" spans="4:4" x14ac:dyDescent="0.2">
      <c r="D304" s="119">
        <f t="shared" si="4"/>
        <v>41940</v>
      </c>
    </row>
    <row r="305" spans="4:4" x14ac:dyDescent="0.2">
      <c r="D305" s="119">
        <f t="shared" si="4"/>
        <v>41941</v>
      </c>
    </row>
    <row r="306" spans="4:4" x14ac:dyDescent="0.2">
      <c r="D306" s="119">
        <f t="shared" si="4"/>
        <v>41942</v>
      </c>
    </row>
    <row r="307" spans="4:4" x14ac:dyDescent="0.2">
      <c r="D307" s="119">
        <f t="shared" si="4"/>
        <v>41943</v>
      </c>
    </row>
    <row r="308" spans="4:4" x14ac:dyDescent="0.2">
      <c r="D308" s="119">
        <f t="shared" si="4"/>
        <v>41944</v>
      </c>
    </row>
    <row r="309" spans="4:4" x14ac:dyDescent="0.2">
      <c r="D309" s="119">
        <f t="shared" si="4"/>
        <v>41945</v>
      </c>
    </row>
    <row r="310" spans="4:4" x14ac:dyDescent="0.2">
      <c r="D310" s="119">
        <f t="shared" si="4"/>
        <v>41946</v>
      </c>
    </row>
    <row r="311" spans="4:4" x14ac:dyDescent="0.2">
      <c r="D311" s="119">
        <f t="shared" si="4"/>
        <v>41947</v>
      </c>
    </row>
    <row r="312" spans="4:4" x14ac:dyDescent="0.2">
      <c r="D312" s="119">
        <f t="shared" si="4"/>
        <v>41948</v>
      </c>
    </row>
    <row r="313" spans="4:4" x14ac:dyDescent="0.2">
      <c r="D313" s="119">
        <f t="shared" si="4"/>
        <v>41949</v>
      </c>
    </row>
    <row r="314" spans="4:4" x14ac:dyDescent="0.2">
      <c r="D314" s="119">
        <f t="shared" si="4"/>
        <v>41950</v>
      </c>
    </row>
    <row r="315" spans="4:4" x14ac:dyDescent="0.2">
      <c r="D315" s="119">
        <f t="shared" si="4"/>
        <v>41951</v>
      </c>
    </row>
    <row r="316" spans="4:4" x14ac:dyDescent="0.2">
      <c r="D316" s="119">
        <f t="shared" si="4"/>
        <v>41952</v>
      </c>
    </row>
    <row r="317" spans="4:4" x14ac:dyDescent="0.2">
      <c r="D317" s="119">
        <f t="shared" si="4"/>
        <v>41953</v>
      </c>
    </row>
    <row r="318" spans="4:4" x14ac:dyDescent="0.2">
      <c r="D318" s="119">
        <f t="shared" si="4"/>
        <v>41954</v>
      </c>
    </row>
    <row r="319" spans="4:4" x14ac:dyDescent="0.2">
      <c r="D319" s="119">
        <f t="shared" si="4"/>
        <v>41955</v>
      </c>
    </row>
    <row r="320" spans="4:4" x14ac:dyDescent="0.2">
      <c r="D320" s="119">
        <f t="shared" si="4"/>
        <v>41956</v>
      </c>
    </row>
    <row r="321" spans="4:4" x14ac:dyDescent="0.2">
      <c r="D321" s="119">
        <f t="shared" si="4"/>
        <v>41957</v>
      </c>
    </row>
    <row r="322" spans="4:4" x14ac:dyDescent="0.2">
      <c r="D322" s="119">
        <f t="shared" si="4"/>
        <v>41958</v>
      </c>
    </row>
    <row r="323" spans="4:4" x14ac:dyDescent="0.2">
      <c r="D323" s="119">
        <f t="shared" si="4"/>
        <v>41959</v>
      </c>
    </row>
    <row r="324" spans="4:4" x14ac:dyDescent="0.2">
      <c r="D324" s="119">
        <f t="shared" si="4"/>
        <v>41960</v>
      </c>
    </row>
    <row r="325" spans="4:4" x14ac:dyDescent="0.2">
      <c r="D325" s="119">
        <f t="shared" si="4"/>
        <v>41961</v>
      </c>
    </row>
    <row r="326" spans="4:4" x14ac:dyDescent="0.2">
      <c r="D326" s="119">
        <f t="shared" ref="D326:D389" si="5">+D325+1</f>
        <v>41962</v>
      </c>
    </row>
    <row r="327" spans="4:4" x14ac:dyDescent="0.2">
      <c r="D327" s="119">
        <f t="shared" si="5"/>
        <v>41963</v>
      </c>
    </row>
    <row r="328" spans="4:4" x14ac:dyDescent="0.2">
      <c r="D328" s="119">
        <f t="shared" si="5"/>
        <v>41964</v>
      </c>
    </row>
    <row r="329" spans="4:4" x14ac:dyDescent="0.2">
      <c r="D329" s="119">
        <f t="shared" si="5"/>
        <v>41965</v>
      </c>
    </row>
    <row r="330" spans="4:4" x14ac:dyDescent="0.2">
      <c r="D330" s="119">
        <f t="shared" si="5"/>
        <v>41966</v>
      </c>
    </row>
    <row r="331" spans="4:4" x14ac:dyDescent="0.2">
      <c r="D331" s="119">
        <f t="shared" si="5"/>
        <v>41967</v>
      </c>
    </row>
    <row r="332" spans="4:4" x14ac:dyDescent="0.2">
      <c r="D332" s="119">
        <f t="shared" si="5"/>
        <v>41968</v>
      </c>
    </row>
    <row r="333" spans="4:4" x14ac:dyDescent="0.2">
      <c r="D333" s="119">
        <f t="shared" si="5"/>
        <v>41969</v>
      </c>
    </row>
    <row r="334" spans="4:4" x14ac:dyDescent="0.2">
      <c r="D334" s="119">
        <f t="shared" si="5"/>
        <v>41970</v>
      </c>
    </row>
    <row r="335" spans="4:4" x14ac:dyDescent="0.2">
      <c r="D335" s="119">
        <f t="shared" si="5"/>
        <v>41971</v>
      </c>
    </row>
    <row r="336" spans="4:4" x14ac:dyDescent="0.2">
      <c r="D336" s="119">
        <f t="shared" si="5"/>
        <v>41972</v>
      </c>
    </row>
    <row r="337" spans="4:4" x14ac:dyDescent="0.2">
      <c r="D337" s="119">
        <f t="shared" si="5"/>
        <v>41973</v>
      </c>
    </row>
    <row r="338" spans="4:4" x14ac:dyDescent="0.2">
      <c r="D338" s="119">
        <f t="shared" si="5"/>
        <v>41974</v>
      </c>
    </row>
    <row r="339" spans="4:4" x14ac:dyDescent="0.2">
      <c r="D339" s="119">
        <f t="shared" si="5"/>
        <v>41975</v>
      </c>
    </row>
    <row r="340" spans="4:4" x14ac:dyDescent="0.2">
      <c r="D340" s="119">
        <f t="shared" si="5"/>
        <v>41976</v>
      </c>
    </row>
    <row r="341" spans="4:4" x14ac:dyDescent="0.2">
      <c r="D341" s="119">
        <f t="shared" si="5"/>
        <v>41977</v>
      </c>
    </row>
    <row r="342" spans="4:4" x14ac:dyDescent="0.2">
      <c r="D342" s="119">
        <f t="shared" si="5"/>
        <v>41978</v>
      </c>
    </row>
    <row r="343" spans="4:4" x14ac:dyDescent="0.2">
      <c r="D343" s="119">
        <f t="shared" si="5"/>
        <v>41979</v>
      </c>
    </row>
    <row r="344" spans="4:4" x14ac:dyDescent="0.2">
      <c r="D344" s="119">
        <f t="shared" si="5"/>
        <v>41980</v>
      </c>
    </row>
    <row r="345" spans="4:4" x14ac:dyDescent="0.2">
      <c r="D345" s="119">
        <f t="shared" si="5"/>
        <v>41981</v>
      </c>
    </row>
    <row r="346" spans="4:4" x14ac:dyDescent="0.2">
      <c r="D346" s="119">
        <f t="shared" si="5"/>
        <v>41982</v>
      </c>
    </row>
    <row r="347" spans="4:4" x14ac:dyDescent="0.2">
      <c r="D347" s="119">
        <f t="shared" si="5"/>
        <v>41983</v>
      </c>
    </row>
    <row r="348" spans="4:4" x14ac:dyDescent="0.2">
      <c r="D348" s="119">
        <f t="shared" si="5"/>
        <v>41984</v>
      </c>
    </row>
    <row r="349" spans="4:4" x14ac:dyDescent="0.2">
      <c r="D349" s="119">
        <f t="shared" si="5"/>
        <v>41985</v>
      </c>
    </row>
    <row r="350" spans="4:4" x14ac:dyDescent="0.2">
      <c r="D350" s="119">
        <f t="shared" si="5"/>
        <v>41986</v>
      </c>
    </row>
    <row r="351" spans="4:4" x14ac:dyDescent="0.2">
      <c r="D351" s="119">
        <f t="shared" si="5"/>
        <v>41987</v>
      </c>
    </row>
    <row r="352" spans="4:4" x14ac:dyDescent="0.2">
      <c r="D352" s="119">
        <f t="shared" si="5"/>
        <v>41988</v>
      </c>
    </row>
    <row r="353" spans="4:4" x14ac:dyDescent="0.2">
      <c r="D353" s="119">
        <f t="shared" si="5"/>
        <v>41989</v>
      </c>
    </row>
    <row r="354" spans="4:4" x14ac:dyDescent="0.2">
      <c r="D354" s="119">
        <f t="shared" si="5"/>
        <v>41990</v>
      </c>
    </row>
    <row r="355" spans="4:4" x14ac:dyDescent="0.2">
      <c r="D355" s="119">
        <f t="shared" si="5"/>
        <v>41991</v>
      </c>
    </row>
    <row r="356" spans="4:4" x14ac:dyDescent="0.2">
      <c r="D356" s="119">
        <f t="shared" si="5"/>
        <v>41992</v>
      </c>
    </row>
    <row r="357" spans="4:4" x14ac:dyDescent="0.2">
      <c r="D357" s="119">
        <f t="shared" si="5"/>
        <v>41993</v>
      </c>
    </row>
    <row r="358" spans="4:4" x14ac:dyDescent="0.2">
      <c r="D358" s="119">
        <f t="shared" si="5"/>
        <v>41994</v>
      </c>
    </row>
    <row r="359" spans="4:4" x14ac:dyDescent="0.2">
      <c r="D359" s="119">
        <f t="shared" si="5"/>
        <v>41995</v>
      </c>
    </row>
    <row r="360" spans="4:4" x14ac:dyDescent="0.2">
      <c r="D360" s="119">
        <f t="shared" si="5"/>
        <v>41996</v>
      </c>
    </row>
    <row r="361" spans="4:4" x14ac:dyDescent="0.2">
      <c r="D361" s="119">
        <f t="shared" si="5"/>
        <v>41997</v>
      </c>
    </row>
    <row r="362" spans="4:4" x14ac:dyDescent="0.2">
      <c r="D362" s="119">
        <f t="shared" si="5"/>
        <v>41998</v>
      </c>
    </row>
    <row r="363" spans="4:4" x14ac:dyDescent="0.2">
      <c r="D363" s="119">
        <f t="shared" si="5"/>
        <v>41999</v>
      </c>
    </row>
    <row r="364" spans="4:4" x14ac:dyDescent="0.2">
      <c r="D364" s="119">
        <f t="shared" si="5"/>
        <v>42000</v>
      </c>
    </row>
    <row r="365" spans="4:4" x14ac:dyDescent="0.2">
      <c r="D365" s="119">
        <f t="shared" si="5"/>
        <v>42001</v>
      </c>
    </row>
    <row r="366" spans="4:4" x14ac:dyDescent="0.2">
      <c r="D366" s="119">
        <f t="shared" si="5"/>
        <v>42002</v>
      </c>
    </row>
    <row r="367" spans="4:4" x14ac:dyDescent="0.2">
      <c r="D367" s="119">
        <f t="shared" si="5"/>
        <v>42003</v>
      </c>
    </row>
    <row r="368" spans="4:4" x14ac:dyDescent="0.2">
      <c r="D368" s="119">
        <f t="shared" si="5"/>
        <v>42004</v>
      </c>
    </row>
    <row r="369" spans="4:4" x14ac:dyDescent="0.2">
      <c r="D369" s="119">
        <f t="shared" si="5"/>
        <v>42005</v>
      </c>
    </row>
    <row r="370" spans="4:4" x14ac:dyDescent="0.2">
      <c r="D370" s="119">
        <f t="shared" si="5"/>
        <v>42006</v>
      </c>
    </row>
    <row r="371" spans="4:4" x14ac:dyDescent="0.2">
      <c r="D371" s="119">
        <f t="shared" si="5"/>
        <v>42007</v>
      </c>
    </row>
    <row r="372" spans="4:4" x14ac:dyDescent="0.2">
      <c r="D372" s="119">
        <f t="shared" si="5"/>
        <v>42008</v>
      </c>
    </row>
    <row r="373" spans="4:4" x14ac:dyDescent="0.2">
      <c r="D373" s="119">
        <f t="shared" si="5"/>
        <v>42009</v>
      </c>
    </row>
    <row r="374" spans="4:4" x14ac:dyDescent="0.2">
      <c r="D374" s="119">
        <f t="shared" si="5"/>
        <v>42010</v>
      </c>
    </row>
    <row r="375" spans="4:4" x14ac:dyDescent="0.2">
      <c r="D375" s="119">
        <f t="shared" si="5"/>
        <v>42011</v>
      </c>
    </row>
    <row r="376" spans="4:4" x14ac:dyDescent="0.2">
      <c r="D376" s="119">
        <f t="shared" si="5"/>
        <v>42012</v>
      </c>
    </row>
    <row r="377" spans="4:4" x14ac:dyDescent="0.2">
      <c r="D377" s="119">
        <f t="shared" si="5"/>
        <v>42013</v>
      </c>
    </row>
    <row r="378" spans="4:4" x14ac:dyDescent="0.2">
      <c r="D378" s="119">
        <f t="shared" si="5"/>
        <v>42014</v>
      </c>
    </row>
    <row r="379" spans="4:4" x14ac:dyDescent="0.2">
      <c r="D379" s="119">
        <f t="shared" si="5"/>
        <v>42015</v>
      </c>
    </row>
    <row r="380" spans="4:4" x14ac:dyDescent="0.2">
      <c r="D380" s="119">
        <f t="shared" si="5"/>
        <v>42016</v>
      </c>
    </row>
    <row r="381" spans="4:4" x14ac:dyDescent="0.2">
      <c r="D381" s="119">
        <f t="shared" si="5"/>
        <v>42017</v>
      </c>
    </row>
    <row r="382" spans="4:4" x14ac:dyDescent="0.2">
      <c r="D382" s="119">
        <f t="shared" si="5"/>
        <v>42018</v>
      </c>
    </row>
    <row r="383" spans="4:4" x14ac:dyDescent="0.2">
      <c r="D383" s="119">
        <f t="shared" si="5"/>
        <v>42019</v>
      </c>
    </row>
    <row r="384" spans="4:4" x14ac:dyDescent="0.2">
      <c r="D384" s="119">
        <f t="shared" si="5"/>
        <v>42020</v>
      </c>
    </row>
    <row r="385" spans="4:4" x14ac:dyDescent="0.2">
      <c r="D385" s="119">
        <f t="shared" si="5"/>
        <v>42021</v>
      </c>
    </row>
    <row r="386" spans="4:4" x14ac:dyDescent="0.2">
      <c r="D386" s="119">
        <f t="shared" si="5"/>
        <v>42022</v>
      </c>
    </row>
    <row r="387" spans="4:4" x14ac:dyDescent="0.2">
      <c r="D387" s="119">
        <f t="shared" si="5"/>
        <v>42023</v>
      </c>
    </row>
    <row r="388" spans="4:4" x14ac:dyDescent="0.2">
      <c r="D388" s="119">
        <f t="shared" si="5"/>
        <v>42024</v>
      </c>
    </row>
    <row r="389" spans="4:4" x14ac:dyDescent="0.2">
      <c r="D389" s="119">
        <f t="shared" si="5"/>
        <v>42025</v>
      </c>
    </row>
    <row r="390" spans="4:4" x14ac:dyDescent="0.2">
      <c r="D390" s="119">
        <f t="shared" ref="D390:D453" si="6">+D389+1</f>
        <v>42026</v>
      </c>
    </row>
    <row r="391" spans="4:4" x14ac:dyDescent="0.2">
      <c r="D391" s="119">
        <f t="shared" si="6"/>
        <v>42027</v>
      </c>
    </row>
    <row r="392" spans="4:4" x14ac:dyDescent="0.2">
      <c r="D392" s="119">
        <f t="shared" si="6"/>
        <v>42028</v>
      </c>
    </row>
    <row r="393" spans="4:4" x14ac:dyDescent="0.2">
      <c r="D393" s="119">
        <f t="shared" si="6"/>
        <v>42029</v>
      </c>
    </row>
    <row r="394" spans="4:4" x14ac:dyDescent="0.2">
      <c r="D394" s="119">
        <f t="shared" si="6"/>
        <v>42030</v>
      </c>
    </row>
    <row r="395" spans="4:4" x14ac:dyDescent="0.2">
      <c r="D395" s="119">
        <f t="shared" si="6"/>
        <v>42031</v>
      </c>
    </row>
    <row r="396" spans="4:4" x14ac:dyDescent="0.2">
      <c r="D396" s="119">
        <f t="shared" si="6"/>
        <v>42032</v>
      </c>
    </row>
    <row r="397" spans="4:4" x14ac:dyDescent="0.2">
      <c r="D397" s="119">
        <f t="shared" si="6"/>
        <v>42033</v>
      </c>
    </row>
    <row r="398" spans="4:4" x14ac:dyDescent="0.2">
      <c r="D398" s="119">
        <f t="shared" si="6"/>
        <v>42034</v>
      </c>
    </row>
    <row r="399" spans="4:4" x14ac:dyDescent="0.2">
      <c r="D399" s="119">
        <f t="shared" si="6"/>
        <v>42035</v>
      </c>
    </row>
    <row r="400" spans="4:4" x14ac:dyDescent="0.2">
      <c r="D400" s="119">
        <f t="shared" si="6"/>
        <v>42036</v>
      </c>
    </row>
    <row r="401" spans="4:4" x14ac:dyDescent="0.2">
      <c r="D401" s="119">
        <f t="shared" si="6"/>
        <v>42037</v>
      </c>
    </row>
    <row r="402" spans="4:4" x14ac:dyDescent="0.2">
      <c r="D402" s="119">
        <f t="shared" si="6"/>
        <v>42038</v>
      </c>
    </row>
    <row r="403" spans="4:4" x14ac:dyDescent="0.2">
      <c r="D403" s="119">
        <f t="shared" si="6"/>
        <v>42039</v>
      </c>
    </row>
    <row r="404" spans="4:4" x14ac:dyDescent="0.2">
      <c r="D404" s="119">
        <f t="shared" si="6"/>
        <v>42040</v>
      </c>
    </row>
    <row r="405" spans="4:4" x14ac:dyDescent="0.2">
      <c r="D405" s="119">
        <f t="shared" si="6"/>
        <v>42041</v>
      </c>
    </row>
    <row r="406" spans="4:4" x14ac:dyDescent="0.2">
      <c r="D406" s="119">
        <f t="shared" si="6"/>
        <v>42042</v>
      </c>
    </row>
    <row r="407" spans="4:4" x14ac:dyDescent="0.2">
      <c r="D407" s="119">
        <f t="shared" si="6"/>
        <v>42043</v>
      </c>
    </row>
    <row r="408" spans="4:4" x14ac:dyDescent="0.2">
      <c r="D408" s="119">
        <f t="shared" si="6"/>
        <v>42044</v>
      </c>
    </row>
    <row r="409" spans="4:4" x14ac:dyDescent="0.2">
      <c r="D409" s="119">
        <f t="shared" si="6"/>
        <v>42045</v>
      </c>
    </row>
    <row r="410" spans="4:4" x14ac:dyDescent="0.2">
      <c r="D410" s="119">
        <f t="shared" si="6"/>
        <v>42046</v>
      </c>
    </row>
    <row r="411" spans="4:4" x14ac:dyDescent="0.2">
      <c r="D411" s="119">
        <f t="shared" si="6"/>
        <v>42047</v>
      </c>
    </row>
    <row r="412" spans="4:4" x14ac:dyDescent="0.2">
      <c r="D412" s="119">
        <f t="shared" si="6"/>
        <v>42048</v>
      </c>
    </row>
    <row r="413" spans="4:4" x14ac:dyDescent="0.2">
      <c r="D413" s="119">
        <f t="shared" si="6"/>
        <v>42049</v>
      </c>
    </row>
    <row r="414" spans="4:4" x14ac:dyDescent="0.2">
      <c r="D414" s="119">
        <f t="shared" si="6"/>
        <v>42050</v>
      </c>
    </row>
    <row r="415" spans="4:4" x14ac:dyDescent="0.2">
      <c r="D415" s="119">
        <f t="shared" si="6"/>
        <v>42051</v>
      </c>
    </row>
    <row r="416" spans="4:4" x14ac:dyDescent="0.2">
      <c r="D416" s="119">
        <f t="shared" si="6"/>
        <v>42052</v>
      </c>
    </row>
    <row r="417" spans="4:4" x14ac:dyDescent="0.2">
      <c r="D417" s="119">
        <f t="shared" si="6"/>
        <v>42053</v>
      </c>
    </row>
    <row r="418" spans="4:4" x14ac:dyDescent="0.2">
      <c r="D418" s="119">
        <f t="shared" si="6"/>
        <v>42054</v>
      </c>
    </row>
    <row r="419" spans="4:4" x14ac:dyDescent="0.2">
      <c r="D419" s="119">
        <f t="shared" si="6"/>
        <v>42055</v>
      </c>
    </row>
    <row r="420" spans="4:4" x14ac:dyDescent="0.2">
      <c r="D420" s="119">
        <f t="shared" si="6"/>
        <v>42056</v>
      </c>
    </row>
    <row r="421" spans="4:4" x14ac:dyDescent="0.2">
      <c r="D421" s="119">
        <f t="shared" si="6"/>
        <v>42057</v>
      </c>
    </row>
    <row r="422" spans="4:4" x14ac:dyDescent="0.2">
      <c r="D422" s="119">
        <f t="shared" si="6"/>
        <v>42058</v>
      </c>
    </row>
    <row r="423" spans="4:4" x14ac:dyDescent="0.2">
      <c r="D423" s="119">
        <f t="shared" si="6"/>
        <v>42059</v>
      </c>
    </row>
    <row r="424" spans="4:4" x14ac:dyDescent="0.2">
      <c r="D424" s="119">
        <f t="shared" si="6"/>
        <v>42060</v>
      </c>
    </row>
    <row r="425" spans="4:4" x14ac:dyDescent="0.2">
      <c r="D425" s="119">
        <f t="shared" si="6"/>
        <v>42061</v>
      </c>
    </row>
    <row r="426" spans="4:4" x14ac:dyDescent="0.2">
      <c r="D426" s="119">
        <f t="shared" si="6"/>
        <v>42062</v>
      </c>
    </row>
    <row r="427" spans="4:4" x14ac:dyDescent="0.2">
      <c r="D427" s="119">
        <f t="shared" si="6"/>
        <v>42063</v>
      </c>
    </row>
    <row r="428" spans="4:4" x14ac:dyDescent="0.2">
      <c r="D428" s="119">
        <f t="shared" si="6"/>
        <v>42064</v>
      </c>
    </row>
    <row r="429" spans="4:4" x14ac:dyDescent="0.2">
      <c r="D429" s="119">
        <f t="shared" si="6"/>
        <v>42065</v>
      </c>
    </row>
    <row r="430" spans="4:4" x14ac:dyDescent="0.2">
      <c r="D430" s="119">
        <f t="shared" si="6"/>
        <v>42066</v>
      </c>
    </row>
    <row r="431" spans="4:4" x14ac:dyDescent="0.2">
      <c r="D431" s="119">
        <f t="shared" si="6"/>
        <v>42067</v>
      </c>
    </row>
    <row r="432" spans="4:4" x14ac:dyDescent="0.2">
      <c r="D432" s="119">
        <f t="shared" si="6"/>
        <v>42068</v>
      </c>
    </row>
    <row r="433" spans="4:4" x14ac:dyDescent="0.2">
      <c r="D433" s="119">
        <f t="shared" si="6"/>
        <v>42069</v>
      </c>
    </row>
    <row r="434" spans="4:4" x14ac:dyDescent="0.2">
      <c r="D434" s="119">
        <f t="shared" si="6"/>
        <v>42070</v>
      </c>
    </row>
    <row r="435" spans="4:4" x14ac:dyDescent="0.2">
      <c r="D435" s="119">
        <f t="shared" si="6"/>
        <v>42071</v>
      </c>
    </row>
    <row r="436" spans="4:4" x14ac:dyDescent="0.2">
      <c r="D436" s="119">
        <f t="shared" si="6"/>
        <v>42072</v>
      </c>
    </row>
    <row r="437" spans="4:4" x14ac:dyDescent="0.2">
      <c r="D437" s="119">
        <f t="shared" si="6"/>
        <v>42073</v>
      </c>
    </row>
    <row r="438" spans="4:4" x14ac:dyDescent="0.2">
      <c r="D438" s="119">
        <f t="shared" si="6"/>
        <v>42074</v>
      </c>
    </row>
    <row r="439" spans="4:4" x14ac:dyDescent="0.2">
      <c r="D439" s="119">
        <f t="shared" si="6"/>
        <v>42075</v>
      </c>
    </row>
    <row r="440" spans="4:4" x14ac:dyDescent="0.2">
      <c r="D440" s="119">
        <f t="shared" si="6"/>
        <v>42076</v>
      </c>
    </row>
    <row r="441" spans="4:4" x14ac:dyDescent="0.2">
      <c r="D441" s="119">
        <f t="shared" si="6"/>
        <v>42077</v>
      </c>
    </row>
    <row r="442" spans="4:4" x14ac:dyDescent="0.2">
      <c r="D442" s="119">
        <f t="shared" si="6"/>
        <v>42078</v>
      </c>
    </row>
    <row r="443" spans="4:4" x14ac:dyDescent="0.2">
      <c r="D443" s="119">
        <f t="shared" si="6"/>
        <v>42079</v>
      </c>
    </row>
    <row r="444" spans="4:4" x14ac:dyDescent="0.2">
      <c r="D444" s="119">
        <f t="shared" si="6"/>
        <v>42080</v>
      </c>
    </row>
    <row r="445" spans="4:4" x14ac:dyDescent="0.2">
      <c r="D445" s="119">
        <f t="shared" si="6"/>
        <v>42081</v>
      </c>
    </row>
    <row r="446" spans="4:4" x14ac:dyDescent="0.2">
      <c r="D446" s="119">
        <f t="shared" si="6"/>
        <v>42082</v>
      </c>
    </row>
    <row r="447" spans="4:4" x14ac:dyDescent="0.2">
      <c r="D447" s="119">
        <f t="shared" si="6"/>
        <v>42083</v>
      </c>
    </row>
    <row r="448" spans="4:4" x14ac:dyDescent="0.2">
      <c r="D448" s="119">
        <f t="shared" si="6"/>
        <v>42084</v>
      </c>
    </row>
    <row r="449" spans="4:4" x14ac:dyDescent="0.2">
      <c r="D449" s="119">
        <f t="shared" si="6"/>
        <v>42085</v>
      </c>
    </row>
    <row r="450" spans="4:4" x14ac:dyDescent="0.2">
      <c r="D450" s="119">
        <f t="shared" si="6"/>
        <v>42086</v>
      </c>
    </row>
    <row r="451" spans="4:4" x14ac:dyDescent="0.2">
      <c r="D451" s="119">
        <f t="shared" si="6"/>
        <v>42087</v>
      </c>
    </row>
    <row r="452" spans="4:4" x14ac:dyDescent="0.2">
      <c r="D452" s="119">
        <f t="shared" si="6"/>
        <v>42088</v>
      </c>
    </row>
    <row r="453" spans="4:4" x14ac:dyDescent="0.2">
      <c r="D453" s="119">
        <f t="shared" si="6"/>
        <v>42089</v>
      </c>
    </row>
    <row r="454" spans="4:4" x14ac:dyDescent="0.2">
      <c r="D454" s="119">
        <f t="shared" ref="D454:D517" si="7">+D453+1</f>
        <v>42090</v>
      </c>
    </row>
    <row r="455" spans="4:4" x14ac:dyDescent="0.2">
      <c r="D455" s="119">
        <f t="shared" si="7"/>
        <v>42091</v>
      </c>
    </row>
    <row r="456" spans="4:4" x14ac:dyDescent="0.2">
      <c r="D456" s="119">
        <f t="shared" si="7"/>
        <v>42092</v>
      </c>
    </row>
    <row r="457" spans="4:4" x14ac:dyDescent="0.2">
      <c r="D457" s="119">
        <f t="shared" si="7"/>
        <v>42093</v>
      </c>
    </row>
    <row r="458" spans="4:4" x14ac:dyDescent="0.2">
      <c r="D458" s="119">
        <f t="shared" si="7"/>
        <v>42094</v>
      </c>
    </row>
    <row r="459" spans="4:4" x14ac:dyDescent="0.2">
      <c r="D459" s="119">
        <f t="shared" si="7"/>
        <v>42095</v>
      </c>
    </row>
    <row r="460" spans="4:4" x14ac:dyDescent="0.2">
      <c r="D460" s="119">
        <f t="shared" si="7"/>
        <v>42096</v>
      </c>
    </row>
    <row r="461" spans="4:4" x14ac:dyDescent="0.2">
      <c r="D461" s="119">
        <f t="shared" si="7"/>
        <v>42097</v>
      </c>
    </row>
    <row r="462" spans="4:4" x14ac:dyDescent="0.2">
      <c r="D462" s="119">
        <f t="shared" si="7"/>
        <v>42098</v>
      </c>
    </row>
    <row r="463" spans="4:4" x14ac:dyDescent="0.2">
      <c r="D463" s="119">
        <f t="shared" si="7"/>
        <v>42099</v>
      </c>
    </row>
    <row r="464" spans="4:4" x14ac:dyDescent="0.2">
      <c r="D464" s="119">
        <f t="shared" si="7"/>
        <v>42100</v>
      </c>
    </row>
    <row r="465" spans="4:4" x14ac:dyDescent="0.2">
      <c r="D465" s="119">
        <f t="shared" si="7"/>
        <v>42101</v>
      </c>
    </row>
    <row r="466" spans="4:4" x14ac:dyDescent="0.2">
      <c r="D466" s="119">
        <f t="shared" si="7"/>
        <v>42102</v>
      </c>
    </row>
    <row r="467" spans="4:4" x14ac:dyDescent="0.2">
      <c r="D467" s="119">
        <f t="shared" si="7"/>
        <v>42103</v>
      </c>
    </row>
    <row r="468" spans="4:4" x14ac:dyDescent="0.2">
      <c r="D468" s="119">
        <f t="shared" si="7"/>
        <v>42104</v>
      </c>
    </row>
    <row r="469" spans="4:4" x14ac:dyDescent="0.2">
      <c r="D469" s="119">
        <f t="shared" si="7"/>
        <v>42105</v>
      </c>
    </row>
    <row r="470" spans="4:4" x14ac:dyDescent="0.2">
      <c r="D470" s="119">
        <f t="shared" si="7"/>
        <v>42106</v>
      </c>
    </row>
    <row r="471" spans="4:4" x14ac:dyDescent="0.2">
      <c r="D471" s="119">
        <f t="shared" si="7"/>
        <v>42107</v>
      </c>
    </row>
    <row r="472" spans="4:4" x14ac:dyDescent="0.2">
      <c r="D472" s="119">
        <f t="shared" si="7"/>
        <v>42108</v>
      </c>
    </row>
    <row r="473" spans="4:4" x14ac:dyDescent="0.2">
      <c r="D473" s="119">
        <f t="shared" si="7"/>
        <v>42109</v>
      </c>
    </row>
    <row r="474" spans="4:4" x14ac:dyDescent="0.2">
      <c r="D474" s="119">
        <f t="shared" si="7"/>
        <v>42110</v>
      </c>
    </row>
    <row r="475" spans="4:4" x14ac:dyDescent="0.2">
      <c r="D475" s="119">
        <f t="shared" si="7"/>
        <v>42111</v>
      </c>
    </row>
    <row r="476" spans="4:4" x14ac:dyDescent="0.2">
      <c r="D476" s="119">
        <f t="shared" si="7"/>
        <v>42112</v>
      </c>
    </row>
    <row r="477" spans="4:4" x14ac:dyDescent="0.2">
      <c r="D477" s="119">
        <f t="shared" si="7"/>
        <v>42113</v>
      </c>
    </row>
    <row r="478" spans="4:4" x14ac:dyDescent="0.2">
      <c r="D478" s="119">
        <f t="shared" si="7"/>
        <v>42114</v>
      </c>
    </row>
    <row r="479" spans="4:4" x14ac:dyDescent="0.2">
      <c r="D479" s="119">
        <f t="shared" si="7"/>
        <v>42115</v>
      </c>
    </row>
    <row r="480" spans="4:4" x14ac:dyDescent="0.2">
      <c r="D480" s="119">
        <f t="shared" si="7"/>
        <v>42116</v>
      </c>
    </row>
    <row r="481" spans="4:4" x14ac:dyDescent="0.2">
      <c r="D481" s="119">
        <f t="shared" si="7"/>
        <v>42117</v>
      </c>
    </row>
    <row r="482" spans="4:4" x14ac:dyDescent="0.2">
      <c r="D482" s="119">
        <f t="shared" si="7"/>
        <v>42118</v>
      </c>
    </row>
    <row r="483" spans="4:4" x14ac:dyDescent="0.2">
      <c r="D483" s="119">
        <f t="shared" si="7"/>
        <v>42119</v>
      </c>
    </row>
    <row r="484" spans="4:4" x14ac:dyDescent="0.2">
      <c r="D484" s="119">
        <f t="shared" si="7"/>
        <v>42120</v>
      </c>
    </row>
    <row r="485" spans="4:4" x14ac:dyDescent="0.2">
      <c r="D485" s="119">
        <f t="shared" si="7"/>
        <v>42121</v>
      </c>
    </row>
    <row r="486" spans="4:4" x14ac:dyDescent="0.2">
      <c r="D486" s="119">
        <f t="shared" si="7"/>
        <v>42122</v>
      </c>
    </row>
    <row r="487" spans="4:4" x14ac:dyDescent="0.2">
      <c r="D487" s="119">
        <f t="shared" si="7"/>
        <v>42123</v>
      </c>
    </row>
    <row r="488" spans="4:4" x14ac:dyDescent="0.2">
      <c r="D488" s="119">
        <f t="shared" si="7"/>
        <v>42124</v>
      </c>
    </row>
    <row r="489" spans="4:4" x14ac:dyDescent="0.2">
      <c r="D489" s="119">
        <f t="shared" si="7"/>
        <v>42125</v>
      </c>
    </row>
    <row r="490" spans="4:4" x14ac:dyDescent="0.2">
      <c r="D490" s="119">
        <f t="shared" si="7"/>
        <v>42126</v>
      </c>
    </row>
    <row r="491" spans="4:4" x14ac:dyDescent="0.2">
      <c r="D491" s="119">
        <f t="shared" si="7"/>
        <v>42127</v>
      </c>
    </row>
    <row r="492" spans="4:4" x14ac:dyDescent="0.2">
      <c r="D492" s="119">
        <f t="shared" si="7"/>
        <v>42128</v>
      </c>
    </row>
    <row r="493" spans="4:4" x14ac:dyDescent="0.2">
      <c r="D493" s="119">
        <f t="shared" si="7"/>
        <v>42129</v>
      </c>
    </row>
    <row r="494" spans="4:4" x14ac:dyDescent="0.2">
      <c r="D494" s="119">
        <f t="shared" si="7"/>
        <v>42130</v>
      </c>
    </row>
    <row r="495" spans="4:4" x14ac:dyDescent="0.2">
      <c r="D495" s="119">
        <f t="shared" si="7"/>
        <v>42131</v>
      </c>
    </row>
    <row r="496" spans="4:4" x14ac:dyDescent="0.2">
      <c r="D496" s="119">
        <f t="shared" si="7"/>
        <v>42132</v>
      </c>
    </row>
    <row r="497" spans="4:4" x14ac:dyDescent="0.2">
      <c r="D497" s="119">
        <f t="shared" si="7"/>
        <v>42133</v>
      </c>
    </row>
    <row r="498" spans="4:4" x14ac:dyDescent="0.2">
      <c r="D498" s="119">
        <f t="shared" si="7"/>
        <v>42134</v>
      </c>
    </row>
    <row r="499" spans="4:4" x14ac:dyDescent="0.2">
      <c r="D499" s="119">
        <f t="shared" si="7"/>
        <v>42135</v>
      </c>
    </row>
    <row r="500" spans="4:4" x14ac:dyDescent="0.2">
      <c r="D500" s="119">
        <f t="shared" si="7"/>
        <v>42136</v>
      </c>
    </row>
    <row r="501" spans="4:4" x14ac:dyDescent="0.2">
      <c r="D501" s="119">
        <f t="shared" si="7"/>
        <v>42137</v>
      </c>
    </row>
    <row r="502" spans="4:4" x14ac:dyDescent="0.2">
      <c r="D502" s="119">
        <f t="shared" si="7"/>
        <v>42138</v>
      </c>
    </row>
    <row r="503" spans="4:4" x14ac:dyDescent="0.2">
      <c r="D503" s="119">
        <f t="shared" si="7"/>
        <v>42139</v>
      </c>
    </row>
    <row r="504" spans="4:4" x14ac:dyDescent="0.2">
      <c r="D504" s="119">
        <f t="shared" si="7"/>
        <v>42140</v>
      </c>
    </row>
    <row r="505" spans="4:4" x14ac:dyDescent="0.2">
      <c r="D505" s="119">
        <f t="shared" si="7"/>
        <v>42141</v>
      </c>
    </row>
    <row r="506" spans="4:4" x14ac:dyDescent="0.2">
      <c r="D506" s="119">
        <f t="shared" si="7"/>
        <v>42142</v>
      </c>
    </row>
    <row r="507" spans="4:4" x14ac:dyDescent="0.2">
      <c r="D507" s="119">
        <f t="shared" si="7"/>
        <v>42143</v>
      </c>
    </row>
    <row r="508" spans="4:4" x14ac:dyDescent="0.2">
      <c r="D508" s="119">
        <f t="shared" si="7"/>
        <v>42144</v>
      </c>
    </row>
    <row r="509" spans="4:4" x14ac:dyDescent="0.2">
      <c r="D509" s="119">
        <f t="shared" si="7"/>
        <v>42145</v>
      </c>
    </row>
    <row r="510" spans="4:4" x14ac:dyDescent="0.2">
      <c r="D510" s="119">
        <f t="shared" si="7"/>
        <v>42146</v>
      </c>
    </row>
    <row r="511" spans="4:4" x14ac:dyDescent="0.2">
      <c r="D511" s="119">
        <f t="shared" si="7"/>
        <v>42147</v>
      </c>
    </row>
    <row r="512" spans="4:4" x14ac:dyDescent="0.2">
      <c r="D512" s="119">
        <f t="shared" si="7"/>
        <v>42148</v>
      </c>
    </row>
    <row r="513" spans="4:4" x14ac:dyDescent="0.2">
      <c r="D513" s="119">
        <f t="shared" si="7"/>
        <v>42149</v>
      </c>
    </row>
    <row r="514" spans="4:4" x14ac:dyDescent="0.2">
      <c r="D514" s="119">
        <f t="shared" si="7"/>
        <v>42150</v>
      </c>
    </row>
    <row r="515" spans="4:4" x14ac:dyDescent="0.2">
      <c r="D515" s="119">
        <f t="shared" si="7"/>
        <v>42151</v>
      </c>
    </row>
    <row r="516" spans="4:4" x14ac:dyDescent="0.2">
      <c r="D516" s="119">
        <f t="shared" si="7"/>
        <v>42152</v>
      </c>
    </row>
    <row r="517" spans="4:4" x14ac:dyDescent="0.2">
      <c r="D517" s="119">
        <f t="shared" si="7"/>
        <v>42153</v>
      </c>
    </row>
    <row r="518" spans="4:4" x14ac:dyDescent="0.2">
      <c r="D518" s="119">
        <f t="shared" ref="D518:D581" si="8">+D517+1</f>
        <v>42154</v>
      </c>
    </row>
    <row r="519" spans="4:4" x14ac:dyDescent="0.2">
      <c r="D519" s="119">
        <f t="shared" si="8"/>
        <v>42155</v>
      </c>
    </row>
    <row r="520" spans="4:4" x14ac:dyDescent="0.2">
      <c r="D520" s="119">
        <f t="shared" si="8"/>
        <v>42156</v>
      </c>
    </row>
    <row r="521" spans="4:4" x14ac:dyDescent="0.2">
      <c r="D521" s="119">
        <f t="shared" si="8"/>
        <v>42157</v>
      </c>
    </row>
    <row r="522" spans="4:4" x14ac:dyDescent="0.2">
      <c r="D522" s="119">
        <f t="shared" si="8"/>
        <v>42158</v>
      </c>
    </row>
    <row r="523" spans="4:4" x14ac:dyDescent="0.2">
      <c r="D523" s="119">
        <f t="shared" si="8"/>
        <v>42159</v>
      </c>
    </row>
    <row r="524" spans="4:4" x14ac:dyDescent="0.2">
      <c r="D524" s="119">
        <f t="shared" si="8"/>
        <v>42160</v>
      </c>
    </row>
    <row r="525" spans="4:4" x14ac:dyDescent="0.2">
      <c r="D525" s="119">
        <f t="shared" si="8"/>
        <v>42161</v>
      </c>
    </row>
    <row r="526" spans="4:4" x14ac:dyDescent="0.2">
      <c r="D526" s="119">
        <f t="shared" si="8"/>
        <v>42162</v>
      </c>
    </row>
    <row r="527" spans="4:4" x14ac:dyDescent="0.2">
      <c r="D527" s="119">
        <f t="shared" si="8"/>
        <v>42163</v>
      </c>
    </row>
    <row r="528" spans="4:4" x14ac:dyDescent="0.2">
      <c r="D528" s="119">
        <f t="shared" si="8"/>
        <v>42164</v>
      </c>
    </row>
    <row r="529" spans="4:4" x14ac:dyDescent="0.2">
      <c r="D529" s="119">
        <f t="shared" si="8"/>
        <v>42165</v>
      </c>
    </row>
    <row r="530" spans="4:4" x14ac:dyDescent="0.2">
      <c r="D530" s="119">
        <f t="shared" si="8"/>
        <v>42166</v>
      </c>
    </row>
    <row r="531" spans="4:4" x14ac:dyDescent="0.2">
      <c r="D531" s="119">
        <f t="shared" si="8"/>
        <v>42167</v>
      </c>
    </row>
    <row r="532" spans="4:4" x14ac:dyDescent="0.2">
      <c r="D532" s="119">
        <f t="shared" si="8"/>
        <v>42168</v>
      </c>
    </row>
    <row r="533" spans="4:4" x14ac:dyDescent="0.2">
      <c r="D533" s="119">
        <f t="shared" si="8"/>
        <v>42169</v>
      </c>
    </row>
    <row r="534" spans="4:4" x14ac:dyDescent="0.2">
      <c r="D534" s="119">
        <f t="shared" si="8"/>
        <v>42170</v>
      </c>
    </row>
    <row r="535" spans="4:4" x14ac:dyDescent="0.2">
      <c r="D535" s="119">
        <f t="shared" si="8"/>
        <v>42171</v>
      </c>
    </row>
    <row r="536" spans="4:4" x14ac:dyDescent="0.2">
      <c r="D536" s="119">
        <f t="shared" si="8"/>
        <v>42172</v>
      </c>
    </row>
    <row r="537" spans="4:4" x14ac:dyDescent="0.2">
      <c r="D537" s="119">
        <f t="shared" si="8"/>
        <v>42173</v>
      </c>
    </row>
    <row r="538" spans="4:4" x14ac:dyDescent="0.2">
      <c r="D538" s="119">
        <f t="shared" si="8"/>
        <v>42174</v>
      </c>
    </row>
    <row r="539" spans="4:4" x14ac:dyDescent="0.2">
      <c r="D539" s="119">
        <f t="shared" si="8"/>
        <v>42175</v>
      </c>
    </row>
    <row r="540" spans="4:4" x14ac:dyDescent="0.2">
      <c r="D540" s="119">
        <f t="shared" si="8"/>
        <v>42176</v>
      </c>
    </row>
    <row r="541" spans="4:4" x14ac:dyDescent="0.2">
      <c r="D541" s="119">
        <f t="shared" si="8"/>
        <v>42177</v>
      </c>
    </row>
    <row r="542" spans="4:4" x14ac:dyDescent="0.2">
      <c r="D542" s="119">
        <f t="shared" si="8"/>
        <v>42178</v>
      </c>
    </row>
    <row r="543" spans="4:4" x14ac:dyDescent="0.2">
      <c r="D543" s="119">
        <f t="shared" si="8"/>
        <v>42179</v>
      </c>
    </row>
    <row r="544" spans="4:4" x14ac:dyDescent="0.2">
      <c r="D544" s="119">
        <f t="shared" si="8"/>
        <v>42180</v>
      </c>
    </row>
    <row r="545" spans="4:4" x14ac:dyDescent="0.2">
      <c r="D545" s="119">
        <f t="shared" si="8"/>
        <v>42181</v>
      </c>
    </row>
    <row r="546" spans="4:4" x14ac:dyDescent="0.2">
      <c r="D546" s="119">
        <f t="shared" si="8"/>
        <v>42182</v>
      </c>
    </row>
    <row r="547" spans="4:4" x14ac:dyDescent="0.2">
      <c r="D547" s="119">
        <f t="shared" si="8"/>
        <v>42183</v>
      </c>
    </row>
    <row r="548" spans="4:4" x14ac:dyDescent="0.2">
      <c r="D548" s="119">
        <f t="shared" si="8"/>
        <v>42184</v>
      </c>
    </row>
    <row r="549" spans="4:4" x14ac:dyDescent="0.2">
      <c r="D549" s="119">
        <f t="shared" si="8"/>
        <v>42185</v>
      </c>
    </row>
    <row r="550" spans="4:4" x14ac:dyDescent="0.2">
      <c r="D550" s="119">
        <f t="shared" si="8"/>
        <v>42186</v>
      </c>
    </row>
    <row r="551" spans="4:4" x14ac:dyDescent="0.2">
      <c r="D551" s="119">
        <f t="shared" si="8"/>
        <v>42187</v>
      </c>
    </row>
    <row r="552" spans="4:4" x14ac:dyDescent="0.2">
      <c r="D552" s="119">
        <f t="shared" si="8"/>
        <v>42188</v>
      </c>
    </row>
    <row r="553" spans="4:4" x14ac:dyDescent="0.2">
      <c r="D553" s="119">
        <f t="shared" si="8"/>
        <v>42189</v>
      </c>
    </row>
    <row r="554" spans="4:4" x14ac:dyDescent="0.2">
      <c r="D554" s="119">
        <f t="shared" si="8"/>
        <v>42190</v>
      </c>
    </row>
    <row r="555" spans="4:4" x14ac:dyDescent="0.2">
      <c r="D555" s="119">
        <f t="shared" si="8"/>
        <v>42191</v>
      </c>
    </row>
    <row r="556" spans="4:4" x14ac:dyDescent="0.2">
      <c r="D556" s="119">
        <f t="shared" si="8"/>
        <v>42192</v>
      </c>
    </row>
    <row r="557" spans="4:4" x14ac:dyDescent="0.2">
      <c r="D557" s="119">
        <f t="shared" si="8"/>
        <v>42193</v>
      </c>
    </row>
    <row r="558" spans="4:4" x14ac:dyDescent="0.2">
      <c r="D558" s="119">
        <f t="shared" si="8"/>
        <v>42194</v>
      </c>
    </row>
    <row r="559" spans="4:4" x14ac:dyDescent="0.2">
      <c r="D559" s="119">
        <f t="shared" si="8"/>
        <v>42195</v>
      </c>
    </row>
    <row r="560" spans="4:4" x14ac:dyDescent="0.2">
      <c r="D560" s="119">
        <f t="shared" si="8"/>
        <v>42196</v>
      </c>
    </row>
    <row r="561" spans="4:4" x14ac:dyDescent="0.2">
      <c r="D561" s="119">
        <f t="shared" si="8"/>
        <v>42197</v>
      </c>
    </row>
    <row r="562" spans="4:4" x14ac:dyDescent="0.2">
      <c r="D562" s="119">
        <f t="shared" si="8"/>
        <v>42198</v>
      </c>
    </row>
    <row r="563" spans="4:4" x14ac:dyDescent="0.2">
      <c r="D563" s="119">
        <f t="shared" si="8"/>
        <v>42199</v>
      </c>
    </row>
    <row r="564" spans="4:4" x14ac:dyDescent="0.2">
      <c r="D564" s="119">
        <f t="shared" si="8"/>
        <v>42200</v>
      </c>
    </row>
    <row r="565" spans="4:4" x14ac:dyDescent="0.2">
      <c r="D565" s="119">
        <f t="shared" si="8"/>
        <v>42201</v>
      </c>
    </row>
    <row r="566" spans="4:4" x14ac:dyDescent="0.2">
      <c r="D566" s="119">
        <f t="shared" si="8"/>
        <v>42202</v>
      </c>
    </row>
    <row r="567" spans="4:4" x14ac:dyDescent="0.2">
      <c r="D567" s="119">
        <f t="shared" si="8"/>
        <v>42203</v>
      </c>
    </row>
    <row r="568" spans="4:4" x14ac:dyDescent="0.2">
      <c r="D568" s="119">
        <f t="shared" si="8"/>
        <v>42204</v>
      </c>
    </row>
    <row r="569" spans="4:4" x14ac:dyDescent="0.2">
      <c r="D569" s="119">
        <f t="shared" si="8"/>
        <v>42205</v>
      </c>
    </row>
    <row r="570" spans="4:4" x14ac:dyDescent="0.2">
      <c r="D570" s="119">
        <f t="shared" si="8"/>
        <v>42206</v>
      </c>
    </row>
    <row r="571" spans="4:4" x14ac:dyDescent="0.2">
      <c r="D571" s="119">
        <f t="shared" si="8"/>
        <v>42207</v>
      </c>
    </row>
    <row r="572" spans="4:4" x14ac:dyDescent="0.2">
      <c r="D572" s="119">
        <f t="shared" si="8"/>
        <v>42208</v>
      </c>
    </row>
    <row r="573" spans="4:4" x14ac:dyDescent="0.2">
      <c r="D573" s="119">
        <f t="shared" si="8"/>
        <v>42209</v>
      </c>
    </row>
    <row r="574" spans="4:4" x14ac:dyDescent="0.2">
      <c r="D574" s="119">
        <f t="shared" si="8"/>
        <v>42210</v>
      </c>
    </row>
    <row r="575" spans="4:4" x14ac:dyDescent="0.2">
      <c r="D575" s="119">
        <f t="shared" si="8"/>
        <v>42211</v>
      </c>
    </row>
    <row r="576" spans="4:4" x14ac:dyDescent="0.2">
      <c r="D576" s="119">
        <f t="shared" si="8"/>
        <v>42212</v>
      </c>
    </row>
    <row r="577" spans="4:4" x14ac:dyDescent="0.2">
      <c r="D577" s="119">
        <f t="shared" si="8"/>
        <v>42213</v>
      </c>
    </row>
    <row r="578" spans="4:4" x14ac:dyDescent="0.2">
      <c r="D578" s="119">
        <f t="shared" si="8"/>
        <v>42214</v>
      </c>
    </row>
    <row r="579" spans="4:4" x14ac:dyDescent="0.2">
      <c r="D579" s="119">
        <f t="shared" si="8"/>
        <v>42215</v>
      </c>
    </row>
    <row r="580" spans="4:4" x14ac:dyDescent="0.2">
      <c r="D580" s="119">
        <f t="shared" si="8"/>
        <v>42216</v>
      </c>
    </row>
    <row r="581" spans="4:4" x14ac:dyDescent="0.2">
      <c r="D581" s="119">
        <f t="shared" si="8"/>
        <v>42217</v>
      </c>
    </row>
    <row r="582" spans="4:4" x14ac:dyDescent="0.2">
      <c r="D582" s="119">
        <f t="shared" ref="D582:D645" si="9">+D581+1</f>
        <v>42218</v>
      </c>
    </row>
    <row r="583" spans="4:4" x14ac:dyDescent="0.2">
      <c r="D583" s="119">
        <f t="shared" si="9"/>
        <v>42219</v>
      </c>
    </row>
    <row r="584" spans="4:4" x14ac:dyDescent="0.2">
      <c r="D584" s="119">
        <f t="shared" si="9"/>
        <v>42220</v>
      </c>
    </row>
    <row r="585" spans="4:4" x14ac:dyDescent="0.2">
      <c r="D585" s="119">
        <f t="shared" si="9"/>
        <v>42221</v>
      </c>
    </row>
    <row r="586" spans="4:4" x14ac:dyDescent="0.2">
      <c r="D586" s="119">
        <f t="shared" si="9"/>
        <v>42222</v>
      </c>
    </row>
    <row r="587" spans="4:4" x14ac:dyDescent="0.2">
      <c r="D587" s="119">
        <f t="shared" si="9"/>
        <v>42223</v>
      </c>
    </row>
    <row r="588" spans="4:4" x14ac:dyDescent="0.2">
      <c r="D588" s="119">
        <f t="shared" si="9"/>
        <v>42224</v>
      </c>
    </row>
    <row r="589" spans="4:4" x14ac:dyDescent="0.2">
      <c r="D589" s="119">
        <f t="shared" si="9"/>
        <v>42225</v>
      </c>
    </row>
    <row r="590" spans="4:4" x14ac:dyDescent="0.2">
      <c r="D590" s="119">
        <f t="shared" si="9"/>
        <v>42226</v>
      </c>
    </row>
    <row r="591" spans="4:4" x14ac:dyDescent="0.2">
      <c r="D591" s="119">
        <f t="shared" si="9"/>
        <v>42227</v>
      </c>
    </row>
    <row r="592" spans="4:4" x14ac:dyDescent="0.2">
      <c r="D592" s="119">
        <f t="shared" si="9"/>
        <v>42228</v>
      </c>
    </row>
    <row r="593" spans="4:4" x14ac:dyDescent="0.2">
      <c r="D593" s="119">
        <f t="shared" si="9"/>
        <v>42229</v>
      </c>
    </row>
    <row r="594" spans="4:4" x14ac:dyDescent="0.2">
      <c r="D594" s="119">
        <f t="shared" si="9"/>
        <v>42230</v>
      </c>
    </row>
    <row r="595" spans="4:4" x14ac:dyDescent="0.2">
      <c r="D595" s="119">
        <f t="shared" si="9"/>
        <v>42231</v>
      </c>
    </row>
    <row r="596" spans="4:4" x14ac:dyDescent="0.2">
      <c r="D596" s="119">
        <f t="shared" si="9"/>
        <v>42232</v>
      </c>
    </row>
    <row r="597" spans="4:4" x14ac:dyDescent="0.2">
      <c r="D597" s="119">
        <f t="shared" si="9"/>
        <v>42233</v>
      </c>
    </row>
    <row r="598" spans="4:4" x14ac:dyDescent="0.2">
      <c r="D598" s="119">
        <f t="shared" si="9"/>
        <v>42234</v>
      </c>
    </row>
    <row r="599" spans="4:4" x14ac:dyDescent="0.2">
      <c r="D599" s="119">
        <f t="shared" si="9"/>
        <v>42235</v>
      </c>
    </row>
    <row r="600" spans="4:4" x14ac:dyDescent="0.2">
      <c r="D600" s="119">
        <f t="shared" si="9"/>
        <v>42236</v>
      </c>
    </row>
    <row r="601" spans="4:4" x14ac:dyDescent="0.2">
      <c r="D601" s="119">
        <f t="shared" si="9"/>
        <v>42237</v>
      </c>
    </row>
    <row r="602" spans="4:4" x14ac:dyDescent="0.2">
      <c r="D602" s="119">
        <f t="shared" si="9"/>
        <v>42238</v>
      </c>
    </row>
    <row r="603" spans="4:4" x14ac:dyDescent="0.2">
      <c r="D603" s="119">
        <f t="shared" si="9"/>
        <v>42239</v>
      </c>
    </row>
    <row r="604" spans="4:4" x14ac:dyDescent="0.2">
      <c r="D604" s="119">
        <f t="shared" si="9"/>
        <v>42240</v>
      </c>
    </row>
    <row r="605" spans="4:4" x14ac:dyDescent="0.2">
      <c r="D605" s="119">
        <f t="shared" si="9"/>
        <v>42241</v>
      </c>
    </row>
    <row r="606" spans="4:4" x14ac:dyDescent="0.2">
      <c r="D606" s="119">
        <f t="shared" si="9"/>
        <v>42242</v>
      </c>
    </row>
    <row r="607" spans="4:4" x14ac:dyDescent="0.2">
      <c r="D607" s="119">
        <f t="shared" si="9"/>
        <v>42243</v>
      </c>
    </row>
    <row r="608" spans="4:4" x14ac:dyDescent="0.2">
      <c r="D608" s="119">
        <f t="shared" si="9"/>
        <v>42244</v>
      </c>
    </row>
    <row r="609" spans="4:4" x14ac:dyDescent="0.2">
      <c r="D609" s="119">
        <f t="shared" si="9"/>
        <v>42245</v>
      </c>
    </row>
    <row r="610" spans="4:4" x14ac:dyDescent="0.2">
      <c r="D610" s="119">
        <f t="shared" si="9"/>
        <v>42246</v>
      </c>
    </row>
    <row r="611" spans="4:4" x14ac:dyDescent="0.2">
      <c r="D611" s="119">
        <f t="shared" si="9"/>
        <v>42247</v>
      </c>
    </row>
    <row r="612" spans="4:4" x14ac:dyDescent="0.2">
      <c r="D612" s="119">
        <f t="shared" si="9"/>
        <v>42248</v>
      </c>
    </row>
    <row r="613" spans="4:4" x14ac:dyDescent="0.2">
      <c r="D613" s="119">
        <f t="shared" si="9"/>
        <v>42249</v>
      </c>
    </row>
    <row r="614" spans="4:4" x14ac:dyDescent="0.2">
      <c r="D614" s="119">
        <f t="shared" si="9"/>
        <v>42250</v>
      </c>
    </row>
    <row r="615" spans="4:4" x14ac:dyDescent="0.2">
      <c r="D615" s="119">
        <f t="shared" si="9"/>
        <v>42251</v>
      </c>
    </row>
    <row r="616" spans="4:4" x14ac:dyDescent="0.2">
      <c r="D616" s="119">
        <f t="shared" si="9"/>
        <v>42252</v>
      </c>
    </row>
    <row r="617" spans="4:4" x14ac:dyDescent="0.2">
      <c r="D617" s="119">
        <f t="shared" si="9"/>
        <v>42253</v>
      </c>
    </row>
    <row r="618" spans="4:4" x14ac:dyDescent="0.2">
      <c r="D618" s="119">
        <f t="shared" si="9"/>
        <v>42254</v>
      </c>
    </row>
    <row r="619" spans="4:4" x14ac:dyDescent="0.2">
      <c r="D619" s="119">
        <f t="shared" si="9"/>
        <v>42255</v>
      </c>
    </row>
    <row r="620" spans="4:4" x14ac:dyDescent="0.2">
      <c r="D620" s="119">
        <f t="shared" si="9"/>
        <v>42256</v>
      </c>
    </row>
    <row r="621" spans="4:4" x14ac:dyDescent="0.2">
      <c r="D621" s="119">
        <f t="shared" si="9"/>
        <v>42257</v>
      </c>
    </row>
    <row r="622" spans="4:4" x14ac:dyDescent="0.2">
      <c r="D622" s="119">
        <f t="shared" si="9"/>
        <v>42258</v>
      </c>
    </row>
    <row r="623" spans="4:4" x14ac:dyDescent="0.2">
      <c r="D623" s="119">
        <f t="shared" si="9"/>
        <v>42259</v>
      </c>
    </row>
    <row r="624" spans="4:4" x14ac:dyDescent="0.2">
      <c r="D624" s="119">
        <f t="shared" si="9"/>
        <v>42260</v>
      </c>
    </row>
    <row r="625" spans="4:4" x14ac:dyDescent="0.2">
      <c r="D625" s="119">
        <f t="shared" si="9"/>
        <v>42261</v>
      </c>
    </row>
    <row r="626" spans="4:4" x14ac:dyDescent="0.2">
      <c r="D626" s="119">
        <f t="shared" si="9"/>
        <v>42262</v>
      </c>
    </row>
    <row r="627" spans="4:4" x14ac:dyDescent="0.2">
      <c r="D627" s="119">
        <f t="shared" si="9"/>
        <v>42263</v>
      </c>
    </row>
    <row r="628" spans="4:4" x14ac:dyDescent="0.2">
      <c r="D628" s="119">
        <f t="shared" si="9"/>
        <v>42264</v>
      </c>
    </row>
    <row r="629" spans="4:4" x14ac:dyDescent="0.2">
      <c r="D629" s="119">
        <f t="shared" si="9"/>
        <v>42265</v>
      </c>
    </row>
    <row r="630" spans="4:4" x14ac:dyDescent="0.2">
      <c r="D630" s="119">
        <f t="shared" si="9"/>
        <v>42266</v>
      </c>
    </row>
    <row r="631" spans="4:4" x14ac:dyDescent="0.2">
      <c r="D631" s="119">
        <f t="shared" si="9"/>
        <v>42267</v>
      </c>
    </row>
    <row r="632" spans="4:4" x14ac:dyDescent="0.2">
      <c r="D632" s="119">
        <f t="shared" si="9"/>
        <v>42268</v>
      </c>
    </row>
    <row r="633" spans="4:4" x14ac:dyDescent="0.2">
      <c r="D633" s="119">
        <f t="shared" si="9"/>
        <v>42269</v>
      </c>
    </row>
    <row r="634" spans="4:4" x14ac:dyDescent="0.2">
      <c r="D634" s="119">
        <f t="shared" si="9"/>
        <v>42270</v>
      </c>
    </row>
    <row r="635" spans="4:4" x14ac:dyDescent="0.2">
      <c r="D635" s="119">
        <f t="shared" si="9"/>
        <v>42271</v>
      </c>
    </row>
    <row r="636" spans="4:4" x14ac:dyDescent="0.2">
      <c r="D636" s="119">
        <f t="shared" si="9"/>
        <v>42272</v>
      </c>
    </row>
    <row r="637" spans="4:4" x14ac:dyDescent="0.2">
      <c r="D637" s="119">
        <f t="shared" si="9"/>
        <v>42273</v>
      </c>
    </row>
    <row r="638" spans="4:4" x14ac:dyDescent="0.2">
      <c r="D638" s="119">
        <f t="shared" si="9"/>
        <v>42274</v>
      </c>
    </row>
    <row r="639" spans="4:4" x14ac:dyDescent="0.2">
      <c r="D639" s="119">
        <f t="shared" si="9"/>
        <v>42275</v>
      </c>
    </row>
    <row r="640" spans="4:4" x14ac:dyDescent="0.2">
      <c r="D640" s="119">
        <f t="shared" si="9"/>
        <v>42276</v>
      </c>
    </row>
    <row r="641" spans="4:4" x14ac:dyDescent="0.2">
      <c r="D641" s="119">
        <f t="shared" si="9"/>
        <v>42277</v>
      </c>
    </row>
    <row r="642" spans="4:4" x14ac:dyDescent="0.2">
      <c r="D642" s="119">
        <f t="shared" si="9"/>
        <v>42278</v>
      </c>
    </row>
    <row r="643" spans="4:4" x14ac:dyDescent="0.2">
      <c r="D643" s="119">
        <f t="shared" si="9"/>
        <v>42279</v>
      </c>
    </row>
    <row r="644" spans="4:4" x14ac:dyDescent="0.2">
      <c r="D644" s="119">
        <f t="shared" si="9"/>
        <v>42280</v>
      </c>
    </row>
    <row r="645" spans="4:4" x14ac:dyDescent="0.2">
      <c r="D645" s="119">
        <f t="shared" si="9"/>
        <v>42281</v>
      </c>
    </row>
    <row r="646" spans="4:4" x14ac:dyDescent="0.2">
      <c r="D646" s="119">
        <f t="shared" ref="D646:D697" si="10">+D645+1</f>
        <v>42282</v>
      </c>
    </row>
    <row r="647" spans="4:4" x14ac:dyDescent="0.2">
      <c r="D647" s="119">
        <f t="shared" si="10"/>
        <v>42283</v>
      </c>
    </row>
    <row r="648" spans="4:4" x14ac:dyDescent="0.2">
      <c r="D648" s="119">
        <f t="shared" si="10"/>
        <v>42284</v>
      </c>
    </row>
    <row r="649" spans="4:4" x14ac:dyDescent="0.2">
      <c r="D649" s="119">
        <f t="shared" si="10"/>
        <v>42285</v>
      </c>
    </row>
    <row r="650" spans="4:4" x14ac:dyDescent="0.2">
      <c r="D650" s="119">
        <f t="shared" si="10"/>
        <v>42286</v>
      </c>
    </row>
    <row r="651" spans="4:4" x14ac:dyDescent="0.2">
      <c r="D651" s="119">
        <f t="shared" si="10"/>
        <v>42287</v>
      </c>
    </row>
    <row r="652" spans="4:4" x14ac:dyDescent="0.2">
      <c r="D652" s="119">
        <f t="shared" si="10"/>
        <v>42288</v>
      </c>
    </row>
    <row r="653" spans="4:4" x14ac:dyDescent="0.2">
      <c r="D653" s="119">
        <f t="shared" si="10"/>
        <v>42289</v>
      </c>
    </row>
    <row r="654" spans="4:4" x14ac:dyDescent="0.2">
      <c r="D654" s="119">
        <f t="shared" si="10"/>
        <v>42290</v>
      </c>
    </row>
    <row r="655" spans="4:4" x14ac:dyDescent="0.2">
      <c r="D655" s="119">
        <f t="shared" si="10"/>
        <v>42291</v>
      </c>
    </row>
    <row r="656" spans="4:4" x14ac:dyDescent="0.2">
      <c r="D656" s="119">
        <f t="shared" si="10"/>
        <v>42292</v>
      </c>
    </row>
    <row r="657" spans="4:4" x14ac:dyDescent="0.2">
      <c r="D657" s="119">
        <f t="shared" si="10"/>
        <v>42293</v>
      </c>
    </row>
    <row r="658" spans="4:4" x14ac:dyDescent="0.2">
      <c r="D658" s="119">
        <f t="shared" si="10"/>
        <v>42294</v>
      </c>
    </row>
    <row r="659" spans="4:4" x14ac:dyDescent="0.2">
      <c r="D659" s="119">
        <f t="shared" si="10"/>
        <v>42295</v>
      </c>
    </row>
    <row r="660" spans="4:4" x14ac:dyDescent="0.2">
      <c r="D660" s="119">
        <f t="shared" si="10"/>
        <v>42296</v>
      </c>
    </row>
    <row r="661" spans="4:4" x14ac:dyDescent="0.2">
      <c r="D661" s="119">
        <f t="shared" si="10"/>
        <v>42297</v>
      </c>
    </row>
    <row r="662" spans="4:4" x14ac:dyDescent="0.2">
      <c r="D662" s="119">
        <f t="shared" si="10"/>
        <v>42298</v>
      </c>
    </row>
    <row r="663" spans="4:4" x14ac:dyDescent="0.2">
      <c r="D663" s="119">
        <f t="shared" si="10"/>
        <v>42299</v>
      </c>
    </row>
    <row r="664" spans="4:4" x14ac:dyDescent="0.2">
      <c r="D664" s="119">
        <f t="shared" si="10"/>
        <v>42300</v>
      </c>
    </row>
    <row r="665" spans="4:4" x14ac:dyDescent="0.2">
      <c r="D665" s="119">
        <f t="shared" si="10"/>
        <v>42301</v>
      </c>
    </row>
    <row r="666" spans="4:4" x14ac:dyDescent="0.2">
      <c r="D666" s="119">
        <f t="shared" si="10"/>
        <v>42302</v>
      </c>
    </row>
    <row r="667" spans="4:4" x14ac:dyDescent="0.2">
      <c r="D667" s="119">
        <f t="shared" si="10"/>
        <v>42303</v>
      </c>
    </row>
    <row r="668" spans="4:4" x14ac:dyDescent="0.2">
      <c r="D668" s="119">
        <f t="shared" si="10"/>
        <v>42304</v>
      </c>
    </row>
    <row r="669" spans="4:4" x14ac:dyDescent="0.2">
      <c r="D669" s="119">
        <f t="shared" si="10"/>
        <v>42305</v>
      </c>
    </row>
    <row r="670" spans="4:4" x14ac:dyDescent="0.2">
      <c r="D670" s="119">
        <f t="shared" si="10"/>
        <v>42306</v>
      </c>
    </row>
    <row r="671" spans="4:4" x14ac:dyDescent="0.2">
      <c r="D671" s="119">
        <f t="shared" si="10"/>
        <v>42307</v>
      </c>
    </row>
    <row r="672" spans="4:4" x14ac:dyDescent="0.2">
      <c r="D672" s="119">
        <f t="shared" si="10"/>
        <v>42308</v>
      </c>
    </row>
    <row r="673" spans="4:4" x14ac:dyDescent="0.2">
      <c r="D673" s="119">
        <f t="shared" si="10"/>
        <v>42309</v>
      </c>
    </row>
    <row r="674" spans="4:4" x14ac:dyDescent="0.2">
      <c r="D674" s="119">
        <f t="shared" si="10"/>
        <v>42310</v>
      </c>
    </row>
    <row r="675" spans="4:4" x14ac:dyDescent="0.2">
      <c r="D675" s="119">
        <f t="shared" si="10"/>
        <v>42311</v>
      </c>
    </row>
    <row r="676" spans="4:4" x14ac:dyDescent="0.2">
      <c r="D676" s="119">
        <f t="shared" si="10"/>
        <v>42312</v>
      </c>
    </row>
    <row r="677" spans="4:4" x14ac:dyDescent="0.2">
      <c r="D677" s="119">
        <f t="shared" si="10"/>
        <v>42313</v>
      </c>
    </row>
    <row r="678" spans="4:4" x14ac:dyDescent="0.2">
      <c r="D678" s="119">
        <f t="shared" si="10"/>
        <v>42314</v>
      </c>
    </row>
    <row r="679" spans="4:4" x14ac:dyDescent="0.2">
      <c r="D679" s="119">
        <f t="shared" si="10"/>
        <v>42315</v>
      </c>
    </row>
    <row r="680" spans="4:4" x14ac:dyDescent="0.2">
      <c r="D680" s="119">
        <f t="shared" si="10"/>
        <v>42316</v>
      </c>
    </row>
    <row r="681" spans="4:4" x14ac:dyDescent="0.2">
      <c r="D681" s="119">
        <f t="shared" si="10"/>
        <v>42317</v>
      </c>
    </row>
    <row r="682" spans="4:4" x14ac:dyDescent="0.2">
      <c r="D682" s="119">
        <f t="shared" si="10"/>
        <v>42318</v>
      </c>
    </row>
    <row r="683" spans="4:4" x14ac:dyDescent="0.2">
      <c r="D683" s="119">
        <f t="shared" si="10"/>
        <v>42319</v>
      </c>
    </row>
    <row r="684" spans="4:4" x14ac:dyDescent="0.2">
      <c r="D684" s="119">
        <f t="shared" si="10"/>
        <v>42320</v>
      </c>
    </row>
    <row r="685" spans="4:4" x14ac:dyDescent="0.2">
      <c r="D685" s="119">
        <f t="shared" si="10"/>
        <v>42321</v>
      </c>
    </row>
    <row r="686" spans="4:4" x14ac:dyDescent="0.2">
      <c r="D686" s="119">
        <f t="shared" si="10"/>
        <v>42322</v>
      </c>
    </row>
    <row r="687" spans="4:4" x14ac:dyDescent="0.2">
      <c r="D687" s="119">
        <f t="shared" si="10"/>
        <v>42323</v>
      </c>
    </row>
    <row r="688" spans="4:4" x14ac:dyDescent="0.2">
      <c r="D688" s="119">
        <f t="shared" si="10"/>
        <v>42324</v>
      </c>
    </row>
    <row r="689" spans="4:4" x14ac:dyDescent="0.2">
      <c r="D689" s="119">
        <f t="shared" si="10"/>
        <v>42325</v>
      </c>
    </row>
    <row r="690" spans="4:4" x14ac:dyDescent="0.2">
      <c r="D690" s="119">
        <f t="shared" si="10"/>
        <v>42326</v>
      </c>
    </row>
    <row r="691" spans="4:4" x14ac:dyDescent="0.2">
      <c r="D691" s="119">
        <f t="shared" si="10"/>
        <v>42327</v>
      </c>
    </row>
    <row r="692" spans="4:4" x14ac:dyDescent="0.2">
      <c r="D692" s="119">
        <f t="shared" si="10"/>
        <v>42328</v>
      </c>
    </row>
    <row r="693" spans="4:4" x14ac:dyDescent="0.2">
      <c r="D693" s="119">
        <f t="shared" si="10"/>
        <v>42329</v>
      </c>
    </row>
    <row r="694" spans="4:4" x14ac:dyDescent="0.2">
      <c r="D694" s="119">
        <f t="shared" si="10"/>
        <v>42330</v>
      </c>
    </row>
    <row r="695" spans="4:4" x14ac:dyDescent="0.2">
      <c r="D695" s="119">
        <f t="shared" si="10"/>
        <v>42331</v>
      </c>
    </row>
    <row r="696" spans="4:4" x14ac:dyDescent="0.2">
      <c r="D696" s="119">
        <f t="shared" si="10"/>
        <v>42332</v>
      </c>
    </row>
    <row r="697" spans="4:4" x14ac:dyDescent="0.2">
      <c r="D697" s="119">
        <f t="shared" si="10"/>
        <v>42333</v>
      </c>
    </row>
    <row r="698" spans="4:4" x14ac:dyDescent="0.2">
      <c r="D698" s="119">
        <f>+D697+1</f>
        <v>42334</v>
      </c>
    </row>
    <row r="699" spans="4:4" x14ac:dyDescent="0.2">
      <c r="D699" s="119">
        <f t="shared" ref="D699:D722" si="11">+D698+1</f>
        <v>42335</v>
      </c>
    </row>
    <row r="700" spans="4:4" x14ac:dyDescent="0.2">
      <c r="D700" s="119">
        <f t="shared" si="11"/>
        <v>42336</v>
      </c>
    </row>
    <row r="701" spans="4:4" x14ac:dyDescent="0.2">
      <c r="D701" s="119">
        <f t="shared" si="11"/>
        <v>42337</v>
      </c>
    </row>
    <row r="702" spans="4:4" x14ac:dyDescent="0.2">
      <c r="D702" s="119">
        <f t="shared" si="11"/>
        <v>42338</v>
      </c>
    </row>
    <row r="703" spans="4:4" x14ac:dyDescent="0.2">
      <c r="D703" s="119">
        <f t="shared" si="11"/>
        <v>42339</v>
      </c>
    </row>
    <row r="704" spans="4:4" x14ac:dyDescent="0.2">
      <c r="D704" s="119">
        <f t="shared" si="11"/>
        <v>42340</v>
      </c>
    </row>
    <row r="705" spans="4:4" x14ac:dyDescent="0.2">
      <c r="D705" s="119">
        <f t="shared" si="11"/>
        <v>42341</v>
      </c>
    </row>
    <row r="706" spans="4:4" x14ac:dyDescent="0.2">
      <c r="D706" s="119">
        <f t="shared" si="11"/>
        <v>42342</v>
      </c>
    </row>
    <row r="707" spans="4:4" x14ac:dyDescent="0.2">
      <c r="D707" s="119">
        <f t="shared" si="11"/>
        <v>42343</v>
      </c>
    </row>
    <row r="708" spans="4:4" x14ac:dyDescent="0.2">
      <c r="D708" s="119">
        <f t="shared" si="11"/>
        <v>42344</v>
      </c>
    </row>
    <row r="709" spans="4:4" x14ac:dyDescent="0.2">
      <c r="D709" s="119">
        <f t="shared" si="11"/>
        <v>42345</v>
      </c>
    </row>
    <row r="710" spans="4:4" x14ac:dyDescent="0.2">
      <c r="D710" s="119">
        <f t="shared" si="11"/>
        <v>42346</v>
      </c>
    </row>
    <row r="711" spans="4:4" x14ac:dyDescent="0.2">
      <c r="D711" s="119">
        <f t="shared" si="11"/>
        <v>42347</v>
      </c>
    </row>
    <row r="712" spans="4:4" x14ac:dyDescent="0.2">
      <c r="D712" s="119">
        <f t="shared" si="11"/>
        <v>42348</v>
      </c>
    </row>
    <row r="713" spans="4:4" x14ac:dyDescent="0.2">
      <c r="D713" s="119">
        <f t="shared" si="11"/>
        <v>42349</v>
      </c>
    </row>
    <row r="714" spans="4:4" x14ac:dyDescent="0.2">
      <c r="D714" s="119">
        <f t="shared" si="11"/>
        <v>42350</v>
      </c>
    </row>
    <row r="715" spans="4:4" x14ac:dyDescent="0.2">
      <c r="D715" s="119">
        <f t="shared" si="11"/>
        <v>42351</v>
      </c>
    </row>
    <row r="716" spans="4:4" x14ac:dyDescent="0.2">
      <c r="D716" s="119">
        <f t="shared" si="11"/>
        <v>42352</v>
      </c>
    </row>
    <row r="717" spans="4:4" x14ac:dyDescent="0.2">
      <c r="D717" s="119">
        <f t="shared" si="11"/>
        <v>42353</v>
      </c>
    </row>
    <row r="718" spans="4:4" x14ac:dyDescent="0.2">
      <c r="D718" s="119">
        <f t="shared" si="11"/>
        <v>42354</v>
      </c>
    </row>
    <row r="719" spans="4:4" x14ac:dyDescent="0.2">
      <c r="D719" s="119">
        <f t="shared" si="11"/>
        <v>42355</v>
      </c>
    </row>
    <row r="720" spans="4:4" x14ac:dyDescent="0.2">
      <c r="D720" s="119">
        <f t="shared" si="11"/>
        <v>42356</v>
      </c>
    </row>
    <row r="721" spans="4:4" x14ac:dyDescent="0.2">
      <c r="D721" s="119">
        <f t="shared" si="11"/>
        <v>42357</v>
      </c>
    </row>
    <row r="722" spans="4:4" x14ac:dyDescent="0.2">
      <c r="D722" s="119">
        <f t="shared" si="11"/>
        <v>42358</v>
      </c>
    </row>
    <row r="723" spans="4:4" x14ac:dyDescent="0.2">
      <c r="D723" s="119">
        <f>+D722+1</f>
        <v>42359</v>
      </c>
    </row>
    <row r="724" spans="4:4" x14ac:dyDescent="0.2">
      <c r="D724" s="119">
        <f t="shared" ref="D724:D733" si="12">+D723+1</f>
        <v>42360</v>
      </c>
    </row>
    <row r="725" spans="4:4" x14ac:dyDescent="0.2">
      <c r="D725" s="119">
        <f t="shared" si="12"/>
        <v>42361</v>
      </c>
    </row>
    <row r="726" spans="4:4" x14ac:dyDescent="0.2">
      <c r="D726" s="119">
        <f t="shared" si="12"/>
        <v>42362</v>
      </c>
    </row>
    <row r="727" spans="4:4" x14ac:dyDescent="0.2">
      <c r="D727" s="119">
        <f t="shared" si="12"/>
        <v>42363</v>
      </c>
    </row>
    <row r="728" spans="4:4" x14ac:dyDescent="0.2">
      <c r="D728" s="119">
        <f t="shared" si="12"/>
        <v>42364</v>
      </c>
    </row>
    <row r="729" spans="4:4" x14ac:dyDescent="0.2">
      <c r="D729" s="119">
        <f t="shared" si="12"/>
        <v>42365</v>
      </c>
    </row>
    <row r="730" spans="4:4" x14ac:dyDescent="0.2">
      <c r="D730" s="119">
        <f t="shared" si="12"/>
        <v>42366</v>
      </c>
    </row>
    <row r="731" spans="4:4" x14ac:dyDescent="0.2">
      <c r="D731" s="119">
        <f t="shared" si="12"/>
        <v>42367</v>
      </c>
    </row>
    <row r="732" spans="4:4" x14ac:dyDescent="0.2">
      <c r="D732" s="119">
        <f t="shared" si="12"/>
        <v>42368</v>
      </c>
    </row>
    <row r="733" spans="4:4" ht="13.5" thickBot="1" x14ac:dyDescent="0.25">
      <c r="D733" s="120">
        <f t="shared" si="12"/>
        <v>42369</v>
      </c>
    </row>
    <row r="734" spans="4:4" x14ac:dyDescent="0.2">
      <c r="D734" s="121"/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23</vt:i4>
      </vt:variant>
    </vt:vector>
  </HeadingPairs>
  <TitlesOfParts>
    <vt:vector size="31" baseType="lpstr">
      <vt:lpstr>MENU</vt:lpstr>
      <vt:lpstr>NPT</vt:lpstr>
      <vt:lpstr>AVERAGE COST</vt:lpstr>
      <vt:lpstr>INITIAL DATA</vt:lpstr>
      <vt:lpstr>AFE SUMMARY</vt:lpstr>
      <vt:lpstr>AFE DETAILED</vt:lpstr>
      <vt:lpstr>OPERATIONS</vt:lpstr>
      <vt:lpstr>LISTS</vt:lpstr>
      <vt:lpstr>'AFE DETAILED'!Área_de_impresión</vt:lpstr>
      <vt:lpstr>'AFE SUMMARY'!Área_de_impresión</vt:lpstr>
      <vt:lpstr>'AVERAGE COST'!Área_de_impresión</vt:lpstr>
      <vt:lpstr>'INITIAL DATA'!Área_de_impresión</vt:lpstr>
      <vt:lpstr>MENU!Área_de_impresión</vt:lpstr>
      <vt:lpstr>NPT!Área_de_impresión</vt:lpstr>
      <vt:lpstr>BITS</vt:lpstr>
      <vt:lpstr>DATE</vt:lpstr>
      <vt:lpstr>DIAMETERS</vt:lpstr>
      <vt:lpstr>DIAMETERS_TUBE</vt:lpstr>
      <vt:lpstr>DIAMTERS</vt:lpstr>
      <vt:lpstr>HANGER</vt:lpstr>
      <vt:lpstr>HEAD</vt:lpstr>
      <vt:lpstr>PACKER</vt:lpstr>
      <vt:lpstr>PLACE</vt:lpstr>
      <vt:lpstr>PORCENTAGE</vt:lpstr>
      <vt:lpstr>QTY</vt:lpstr>
      <vt:lpstr>SECTION</vt:lpstr>
      <vt:lpstr>'AFE DETAILED'!Títulos_a_imprimir</vt:lpstr>
      <vt:lpstr>'AVERAGE COST'!Títulos_a_imprimir</vt:lpstr>
      <vt:lpstr>'INITIAL DATA'!Títulos_a_imprimir</vt:lpstr>
      <vt:lpstr>YESNO</vt:lpstr>
      <vt:lpstr>YESORNO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Alfonso Figueroa Greco</dc:creator>
  <cp:lastModifiedBy>MARTIN FIGUEROA GRECO</cp:lastModifiedBy>
  <cp:lastPrinted>2014-06-15T13:07:40Z</cp:lastPrinted>
  <dcterms:created xsi:type="dcterms:W3CDTF">2014-05-07T20:53:13Z</dcterms:created>
  <dcterms:modified xsi:type="dcterms:W3CDTF">2014-10-28T04:24:02Z</dcterms:modified>
</cp:coreProperties>
</file>