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anSebastian\Documents\ESPECIALIZACION EN GESTION INTEGRADA QHSE\ADELANTOS TRABAJOS DE GRADO\ENTREGA TRABAJO DE GRADO\"/>
    </mc:Choice>
  </mc:AlternateContent>
  <bookViews>
    <workbookView xWindow="0" yWindow="0" windowWidth="5160" windowHeight="5670" tabRatio="727"/>
  </bookViews>
  <sheets>
    <sheet name="COSTOS POR ATEL" sheetId="2" r:id="rId1"/>
    <sheet name="RENDIMIENTOS Y TARIFAS" sheetId="1" state="hidden" r:id="rId2"/>
    <sheet name="COSTOS POR PESV" sheetId="3" r:id="rId3"/>
    <sheet name="DATOS PESV" sheetId="4" state="hidden" r:id="rId4"/>
    <sheet name="Anexo" sheetId="9" state="hidden" r:id="rId5"/>
    <sheet name="COSTO POR INCUMPLIMIENTO LEGAL" sheetId="5" r:id="rId6"/>
    <sheet name="DATOS INCUM" sheetId="6" state="hidden" r:id="rId7"/>
    <sheet name="COSTO POR DEMANDAS" sheetId="7" r:id="rId8"/>
    <sheet name="DATOS DEMANDAS" sheetId="8" state="hidden" r:id="rId9"/>
  </sheets>
  <externalReferences>
    <externalReference r:id="rId10"/>
  </externalReferences>
  <definedNames>
    <definedName name="_xlnm.Print_Area" localSheetId="7">'COSTO POR DEMANDAS'!$A$1:$I$67</definedName>
    <definedName name="_xlnm.Print_Area" localSheetId="5">'COSTO POR INCUMPLIMIENTO LEGAL'!$A$1:$I$58</definedName>
    <definedName name="_xlnm.Print_Area" localSheetId="2">'COSTOS POR PESV'!$A$1:$I$128</definedName>
    <definedName name="AYUDANTE">'RENDIMIENTOS Y TARIFAS'!$J$33:$P$33</definedName>
    <definedName name="BENITIN">'RENDIMIENTOS Y TARIFAS'!$J$23:$K$23</definedName>
    <definedName name="FINISHER">'RENDIMIENTOS Y TARIFAS'!$J$27</definedName>
    <definedName name="FRESADORA">'RENDIMIENTOS Y TARIFAS'!$J$24</definedName>
    <definedName name="IRRIGADOR">'RENDIMIENTOS Y TARIFAS'!$J$29</definedName>
    <definedName name="LLANTAS">'RENDIMIENTOS Y TARIFAS'!$J$28</definedName>
    <definedName name="MAESTRO">'RENDIMIENTOS Y TARIFAS'!$J$31:$P$31</definedName>
    <definedName name="MINI">'RENDIMIENTOS Y TARIFAS'!$J$21:$K$21</definedName>
    <definedName name="MOTO">'RENDIMIENTOS Y TARIFAS'!$J$26:$L$26</definedName>
    <definedName name="OFICIAL">'RENDIMIENTOS Y TARIFAS'!$J$32:$P$32</definedName>
    <definedName name="PAJARITA">'RENDIMIENTOS Y TARIFAS'!$J$22:$O$22</definedName>
    <definedName name="RETROEXCAVADORA">'RENDIMIENTOS Y TARIFAS'!#REF!</definedName>
    <definedName name="VIBRO">'RENDIMIENTOS Y TARIFAS'!$J$25:$L$25</definedName>
    <definedName name="VOLQUETA">'RENDIMIENTOS Y TARIFAS'!$J$30:$O$30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1" i="4" l="1"/>
  <c r="W31" i="4"/>
  <c r="X31" i="4"/>
  <c r="Y31" i="4"/>
  <c r="Z31" i="4"/>
  <c r="U31" i="4"/>
  <c r="D36" i="3" l="1"/>
  <c r="C49" i="5"/>
  <c r="H49" i="5"/>
  <c r="C37" i="5"/>
  <c r="H37" i="5"/>
  <c r="C25" i="5"/>
  <c r="H25" i="5"/>
  <c r="H106" i="3"/>
  <c r="D106" i="3"/>
  <c r="F60" i="2"/>
  <c r="F53" i="2"/>
  <c r="G69" i="2" s="1"/>
  <c r="G73" i="2" l="1"/>
  <c r="G65" i="2"/>
  <c r="D54" i="3"/>
  <c r="D56" i="3" l="1"/>
  <c r="D65" i="3"/>
  <c r="C25" i="7"/>
  <c r="G21" i="2"/>
  <c r="AG13" i="1"/>
  <c r="AG14" i="1"/>
  <c r="AG12" i="1"/>
  <c r="V13" i="1"/>
  <c r="V14" i="1"/>
  <c r="V12" i="1"/>
  <c r="B11" i="1"/>
  <c r="B9" i="1"/>
  <c r="B6" i="1"/>
  <c r="B10" i="1"/>
  <c r="B7" i="1"/>
  <c r="B8" i="1"/>
  <c r="B5" i="1"/>
  <c r="B3" i="1"/>
  <c r="B12" i="1"/>
  <c r="B4" i="1"/>
  <c r="Z53" i="4"/>
  <c r="F73" i="8" l="1"/>
  <c r="E73" i="8"/>
  <c r="Y53" i="4"/>
  <c r="X53" i="4"/>
  <c r="W53" i="4"/>
  <c r="V53" i="4"/>
  <c r="U53" i="4"/>
  <c r="T53" i="4"/>
  <c r="U18" i="4"/>
  <c r="D90" i="3" l="1"/>
  <c r="K58" i="3"/>
  <c r="H52" i="3"/>
  <c r="H60" i="3" s="1"/>
  <c r="T31" i="4"/>
  <c r="Z18" i="4"/>
  <c r="Y18" i="4"/>
  <c r="X18" i="4"/>
  <c r="W18" i="4"/>
  <c r="V18" i="4"/>
  <c r="T18" i="4"/>
  <c r="D32" i="3"/>
  <c r="H36" i="3" l="1"/>
  <c r="D44" i="3"/>
  <c r="H40" i="3"/>
  <c r="C3" i="1"/>
  <c r="C4" i="1"/>
  <c r="C5" i="1"/>
  <c r="C6" i="1"/>
  <c r="C7" i="1"/>
  <c r="C8" i="1"/>
  <c r="C9" i="1"/>
  <c r="C10" i="1"/>
  <c r="C11" i="1"/>
  <c r="C12" i="1"/>
  <c r="L34" i="1"/>
  <c r="L35" i="1" s="1"/>
  <c r="P34" i="1"/>
  <c r="P35" i="1" s="1"/>
  <c r="O34" i="1"/>
  <c r="O35" i="1" s="1"/>
  <c r="N34" i="1"/>
  <c r="N35" i="1" s="1"/>
  <c r="M34" i="1"/>
  <c r="M35" i="1" s="1"/>
  <c r="K34" i="1"/>
  <c r="K35" i="1" s="1"/>
  <c r="J34" i="1"/>
  <c r="J35" i="1" s="1"/>
  <c r="E112" i="2" l="1"/>
  <c r="D116" i="2" s="1"/>
  <c r="D110" i="2"/>
  <c r="G110" i="2" s="1"/>
  <c r="D38" i="2"/>
  <c r="E40" i="2"/>
  <c r="D44" i="2" s="1"/>
  <c r="D81" i="2" l="1"/>
  <c r="D65" i="2"/>
  <c r="D73" i="2"/>
  <c r="D85" i="2"/>
  <c r="D120" i="2"/>
  <c r="G114" i="2"/>
  <c r="H3" i="8"/>
  <c r="I2" i="8"/>
  <c r="E29" i="7"/>
  <c r="I1" i="8" s="1"/>
  <c r="C33" i="7"/>
  <c r="H33" i="7" s="1"/>
  <c r="H21" i="7"/>
  <c r="H53" i="5"/>
  <c r="C53" i="5"/>
  <c r="H41" i="5"/>
  <c r="C41" i="5"/>
  <c r="H29" i="5"/>
  <c r="C29" i="5"/>
  <c r="G23" i="6"/>
  <c r="F23" i="6"/>
  <c r="G22" i="6"/>
  <c r="F22" i="6"/>
  <c r="G17" i="6"/>
  <c r="F17" i="6"/>
  <c r="G16" i="6"/>
  <c r="F16" i="6"/>
  <c r="G10" i="6"/>
  <c r="F10" i="6"/>
  <c r="G9" i="6"/>
  <c r="F9" i="6"/>
  <c r="G89" i="2" l="1"/>
  <c r="G119" i="2"/>
  <c r="H25" i="7"/>
  <c r="H4" i="8" s="1"/>
  <c r="I4" i="8" s="1"/>
  <c r="H5" i="8" l="1"/>
  <c r="H6" i="8" s="1"/>
  <c r="H7" i="8" s="1"/>
  <c r="H8" i="8" s="1"/>
  <c r="H9" i="8" s="1"/>
  <c r="H10" i="8" s="1"/>
  <c r="H11" i="8" s="1"/>
  <c r="H12" i="8" s="1"/>
  <c r="H13" i="8" s="1"/>
  <c r="H14" i="8" s="1"/>
  <c r="H15" i="8" s="1"/>
  <c r="H16" i="8" s="1"/>
  <c r="H17" i="8" s="1"/>
  <c r="H18" i="8" s="1"/>
  <c r="H19" i="8" s="1"/>
  <c r="H20" i="8" s="1"/>
  <c r="H21" i="8" s="1"/>
  <c r="H22" i="8" s="1"/>
  <c r="H23" i="8" s="1"/>
  <c r="H24" i="8" s="1"/>
  <c r="H25" i="8" s="1"/>
  <c r="H26" i="8" s="1"/>
  <c r="H27" i="8" s="1"/>
  <c r="H28" i="8" s="1"/>
  <c r="H29" i="8" s="1"/>
  <c r="H30" i="8" s="1"/>
  <c r="H31" i="8" s="1"/>
  <c r="H32" i="8" s="1"/>
  <c r="H33" i="8" s="1"/>
  <c r="H34" i="8" s="1"/>
  <c r="H35" i="8" s="1"/>
  <c r="H36" i="8" s="1"/>
  <c r="H37" i="8" s="1"/>
  <c r="H38" i="8" s="1"/>
  <c r="H39" i="8" s="1"/>
  <c r="H40" i="8" s="1"/>
  <c r="H41" i="8" s="1"/>
  <c r="H42" i="8" s="1"/>
  <c r="H43" i="8" s="1"/>
  <c r="H44" i="8" s="1"/>
  <c r="H45" i="8" s="1"/>
  <c r="H46" i="8" s="1"/>
  <c r="H47" i="8" s="1"/>
  <c r="H48" i="8" s="1"/>
  <c r="H49" i="8" s="1"/>
  <c r="H50" i="8" s="1"/>
  <c r="H51" i="8" s="1"/>
  <c r="H52" i="8" s="1"/>
  <c r="H53" i="8" s="1"/>
  <c r="H54" i="8" s="1"/>
  <c r="H55" i="8" s="1"/>
  <c r="H56" i="8" s="1"/>
  <c r="H57" i="8" s="1"/>
  <c r="H58" i="8" s="1"/>
  <c r="H59" i="8" s="1"/>
  <c r="H60" i="8" s="1"/>
  <c r="H61" i="8" s="1"/>
  <c r="H62" i="8" s="1"/>
  <c r="H63" i="8" s="1"/>
  <c r="H64" i="8" s="1"/>
  <c r="I5" i="8" l="1"/>
  <c r="I6" i="8" s="1"/>
  <c r="I7" i="8" s="1"/>
  <c r="I8" i="8" s="1"/>
  <c r="I9" i="8" s="1"/>
  <c r="I10" i="8" s="1"/>
  <c r="I11" i="8" s="1"/>
  <c r="I12" i="8" s="1"/>
  <c r="I13" i="8" s="1"/>
  <c r="I14" i="8" s="1"/>
  <c r="I15" i="8" s="1"/>
  <c r="I16" i="8" s="1"/>
  <c r="I17" i="8" s="1"/>
  <c r="I18" i="8" s="1"/>
  <c r="I19" i="8" s="1"/>
  <c r="I20" i="8" s="1"/>
  <c r="I21" i="8" s="1"/>
  <c r="I22" i="8" s="1"/>
  <c r="I23" i="8" s="1"/>
  <c r="I24" i="8" s="1"/>
  <c r="I25" i="8" s="1"/>
  <c r="I26" i="8" s="1"/>
  <c r="I27" i="8" s="1"/>
  <c r="I28" i="8" s="1"/>
  <c r="I29" i="8" s="1"/>
  <c r="I30" i="8" s="1"/>
  <c r="I31" i="8" s="1"/>
  <c r="I32" i="8" s="1"/>
  <c r="I33" i="8" s="1"/>
  <c r="I34" i="8" s="1"/>
  <c r="I35" i="8" s="1"/>
  <c r="I36" i="8" s="1"/>
  <c r="I37" i="8" s="1"/>
  <c r="I38" i="8" s="1"/>
  <c r="I39" i="8" s="1"/>
  <c r="I40" i="8" s="1"/>
  <c r="I41" i="8" s="1"/>
  <c r="I42" i="8" s="1"/>
  <c r="I43" i="8" s="1"/>
  <c r="I44" i="8" s="1"/>
  <c r="I45" i="8" s="1"/>
  <c r="I46" i="8" s="1"/>
  <c r="I47" i="8" s="1"/>
  <c r="I48" i="8" s="1"/>
  <c r="I49" i="8" s="1"/>
  <c r="I50" i="8" s="1"/>
  <c r="I51" i="8" s="1"/>
  <c r="I52" i="8" s="1"/>
  <c r="I53" i="8" s="1"/>
  <c r="I54" i="8" s="1"/>
  <c r="I55" i="8" s="1"/>
  <c r="I56" i="8" s="1"/>
  <c r="I57" i="8" s="1"/>
  <c r="I58" i="8" s="1"/>
  <c r="I59" i="8" s="1"/>
  <c r="I60" i="8" s="1"/>
  <c r="I61" i="8" s="1"/>
  <c r="I62" i="8" s="1"/>
  <c r="I63" i="8" s="1"/>
  <c r="I64" i="8" s="1"/>
  <c r="H37" i="7" s="1"/>
  <c r="K3" i="4"/>
  <c r="H86" i="3" s="1"/>
  <c r="H90" i="3" s="1"/>
  <c r="H78" i="3"/>
  <c r="H82" i="3" s="1"/>
  <c r="E22" i="1"/>
  <c r="E24" i="1"/>
  <c r="E21" i="1"/>
  <c r="H48" i="7" l="1"/>
  <c r="H52" i="7"/>
  <c r="H56" i="7" s="1"/>
  <c r="H60" i="7" s="1"/>
  <c r="C48" i="7"/>
  <c r="C52" i="7"/>
  <c r="C56" i="7" s="1"/>
  <c r="F21" i="4"/>
  <c r="D46" i="4" l="1"/>
  <c r="D45" i="4"/>
  <c r="D44" i="4"/>
  <c r="D43" i="4"/>
  <c r="D26" i="4"/>
  <c r="D27" i="4"/>
  <c r="D31" i="4"/>
  <c r="D35" i="4"/>
  <c r="D39" i="4"/>
  <c r="D25" i="4"/>
  <c r="D28" i="4"/>
  <c r="D32" i="4"/>
  <c r="D36" i="4"/>
  <c r="D40" i="4"/>
  <c r="D30" i="4"/>
  <c r="D34" i="4"/>
  <c r="D38" i="4"/>
  <c r="D42" i="4"/>
  <c r="D29" i="4"/>
  <c r="D33" i="4"/>
  <c r="D37" i="4"/>
  <c r="D41" i="4"/>
  <c r="E24" i="4"/>
  <c r="H30" i="3" l="1"/>
  <c r="H46" i="3" s="1"/>
  <c r="B37" i="1"/>
  <c r="C37" i="1" s="1"/>
  <c r="D37" i="1" s="1"/>
  <c r="C36" i="1"/>
  <c r="D36" i="1" s="1"/>
  <c r="C35" i="1"/>
  <c r="D35" i="1" s="1"/>
  <c r="H56" i="3" l="1"/>
  <c r="D60" i="3"/>
  <c r="D69" i="2"/>
  <c r="D77" i="2"/>
  <c r="G38" i="2"/>
  <c r="G42" i="2" s="1"/>
  <c r="C21" i="1"/>
  <c r="C23" i="1" s="1"/>
  <c r="C24" i="1" s="1"/>
  <c r="C22" i="1"/>
  <c r="D23" i="1"/>
  <c r="H65" i="3" l="1"/>
  <c r="D89" i="2"/>
  <c r="D110" i="3"/>
  <c r="E23" i="1"/>
  <c r="D48" i="2"/>
  <c r="G47" i="2" s="1"/>
</calcChain>
</file>

<file path=xl/sharedStrings.xml><?xml version="1.0" encoding="utf-8"?>
<sst xmlns="http://schemas.openxmlformats.org/spreadsheetml/2006/main" count="880" uniqueCount="366">
  <si>
    <t>VALOR HORA</t>
  </si>
  <si>
    <t>RETROEXCAVADORA SOBRE LLANTA</t>
  </si>
  <si>
    <t>MOTONIVELADORA</t>
  </si>
  <si>
    <t>VOLQUETA</t>
  </si>
  <si>
    <t xml:space="preserve">MAQUINA  </t>
  </si>
  <si>
    <t>NUMERO DE CUADRILLAS</t>
  </si>
  <si>
    <t>ACTIVIDAD</t>
  </si>
  <si>
    <t>CUADRILLA MANO DE OBRA 3 AYUDANTES Y 1 MAESTRO OFICIAL</t>
  </si>
  <si>
    <t>EXCAVACION MANUAL</t>
  </si>
  <si>
    <t>RELLENOS</t>
  </si>
  <si>
    <t>INSTALACION DE ASFALTO</t>
  </si>
  <si>
    <t>TERMINADORA DE ASFALTO FINISHER</t>
  </si>
  <si>
    <t>COMPACTADOR NEUMATICO</t>
  </si>
  <si>
    <t>PERSONAL ADMINISTRATIVO</t>
  </si>
  <si>
    <t>PERSONAL PROFESIONAL</t>
  </si>
  <si>
    <t>DIRECTOR OBRA</t>
  </si>
  <si>
    <t>RESIDENTE DE OBRA</t>
  </si>
  <si>
    <t>COORDINADOR SST</t>
  </si>
  <si>
    <t>EXCAVACIONES MANUALES</t>
  </si>
  <si>
    <t>ACTIVIDADES PRINCIPALES</t>
  </si>
  <si>
    <t>*</t>
  </si>
  <si>
    <t>MAQUINARIA</t>
  </si>
  <si>
    <t>COSTOS INDIRECTOS GENERADOS</t>
  </si>
  <si>
    <t>COSTOS DIRECTOS GENERADOS</t>
  </si>
  <si>
    <t>SUELDO DIARIO</t>
  </si>
  <si>
    <t>MANO DE OBRA NO CALIFICADA</t>
  </si>
  <si>
    <t>MAESTRO OFICIAL</t>
  </si>
  <si>
    <t>AYUDANTE</t>
  </si>
  <si>
    <t>COLABORADOR</t>
  </si>
  <si>
    <t>SUELDO MENSUAL</t>
  </si>
  <si>
    <t>SUELDO HORARIO</t>
  </si>
  <si>
    <t>CUADRILLA TIPO 3 AYUDANTES Y 1 OFICIAL</t>
  </si>
  <si>
    <t>Costo atribuido al pago de vacaciones del colaborador durante su incapacidad</t>
  </si>
  <si>
    <t>Costo atribuido al pago de PRIMA del colaborador durante su incapacidad</t>
  </si>
  <si>
    <t>TOTAL COSTO DIRECTO POR ATEL</t>
  </si>
  <si>
    <t>Valor unitario actividad ICCU 2018</t>
  </si>
  <si>
    <t>Dias laborales perdidos por ATEL</t>
  </si>
  <si>
    <t>VALOR DIA</t>
  </si>
  <si>
    <t>Valor que deja de facturar la compañía en dicha actividad por alto de maquinaria involucrada en accidente por ATEL (DIAS INCAPACITANTES)</t>
  </si>
  <si>
    <t>RENDIMIENTO m3/hora</t>
  </si>
  <si>
    <t>RENDIMIENTO m3/dia</t>
  </si>
  <si>
    <t>Valor que deja de facturar la compañía en dicha actividad por alto de maquinaria involucrada en accidente por ATEL (HORAS NO INCAPACITANTES)</t>
  </si>
  <si>
    <t>Costo por STAND BY de maquinaria involucrada en accidente por ATEL (HORAS NO INCAPACITANTES)</t>
  </si>
  <si>
    <t>Indicando que el costo maximo es en el caso que en el accidente el involucrado es elpersonal con el valor/hora mas alto</t>
  </si>
  <si>
    <t>Valor que deja de facturar la compañía en dicha actividad por alto de mano de obra no calificada involucrada en accidente por ATEL (HORAS NO INCAPACITANTES)</t>
  </si>
  <si>
    <t>Valor que se deja de facturar dia MAQUINA</t>
  </si>
  <si>
    <t>Valor que se deja de facturar hora MAQUINA</t>
  </si>
  <si>
    <t>TOTAL COSTO INDIRECTO POR ATEL</t>
  </si>
  <si>
    <t>Indicando que el costo promedio es calculado en un salario promedio de acuerdo al personal profesional requerido para la actividad</t>
  </si>
  <si>
    <t>CUADRILLA DE MAQUINARIA TIPO</t>
  </si>
  <si>
    <t>DESCRIPCION DE ACTIVIDADES</t>
  </si>
  <si>
    <t>Numero de vehiculos</t>
  </si>
  <si>
    <t>De uno (1) a nueve (9) Vehiculos</t>
  </si>
  <si>
    <t>Mas de nueve (9) Vehiculos</t>
  </si>
  <si>
    <t>Tipo de vehiculos</t>
  </si>
  <si>
    <t>Vehiculos livianos</t>
  </si>
  <si>
    <t>Vehiculos medianos</t>
  </si>
  <si>
    <t>Numero de dias</t>
  </si>
  <si>
    <t>Tipo de accidente vial</t>
  </si>
  <si>
    <t>Choque leve con daños superficiales</t>
  </si>
  <si>
    <t>Choque medio con daños superficiales y mecanicos</t>
  </si>
  <si>
    <t>Choque grave con daños superficiales y mecanicos, precencia de herido</t>
  </si>
  <si>
    <t>Choque grave con daños superficiales y mecanicos, precencia de fallecido</t>
  </si>
  <si>
    <t>MULTA/INFRACCION</t>
  </si>
  <si>
    <t>VALOR EN PESOS ($)</t>
  </si>
  <si>
    <t>SMMLV</t>
  </si>
  <si>
    <t>SMDLV</t>
  </si>
  <si>
    <t>NUMERO DE SMDLV</t>
  </si>
  <si>
    <t>Conducir un vehículo con vidrios polarizados, entintados u oscurecidos, sin portar el permiso respectivo.</t>
  </si>
  <si>
    <t>Conducir un vehículo con propaganda, publicidad o adhesivos en sus vidrios que obstaculicen la visibilidad.</t>
  </si>
  <si>
    <t>Presentar licencia de conducción adulterada o ajena, lo cual dará lugar a la inmovilización del vehículo.</t>
  </si>
  <si>
    <t>Estacionar un vehículo en sitios prohibidos.</t>
  </si>
  <si>
    <t>Transitar por sitios restringidos o en horas prohibidas por la autoridad competente. Además, el vehículo será inmovilizado.</t>
  </si>
  <si>
    <t>Conducir sin portar los seguros ordenados por la ley. Además, el vehículo será inmovilizado.</t>
  </si>
  <si>
    <t>Conducir un vehículo sin luces o sin los dispositivos luminosos de posición, direccionales o de freno, o con alguna de ellas dañada, en las horas o circunstancias en que lo exige este código. Además, el vehículo será inmovilizado cuando no le funcionen dos (2) o más de estas luces.</t>
  </si>
  <si>
    <t>Transportar en el mismo vehículo y al mismo tiempo personas y sustancias peligrosas como explosivos, tóxicos, radiactivos, combustibles no autorizados, etc. En estos casos se suspenderá la licencia por un año y por dos años cada vez que reincida. El vehículo será inmovilizado por un año cada vez.</t>
  </si>
  <si>
    <t>En caso de transportar carga con peso superior al autorizado el vehículo será inmovilizado y el exceso deberá ser transbordado. La licencia de conducción será suspendida hasta por seis meses.</t>
  </si>
  <si>
    <t>VALOR TOTAL QUE PUEDE LLEGAR A PAGAR POR MULTAS/INFRACCIONES</t>
  </si>
  <si>
    <t>patios</t>
  </si>
  <si>
    <t>si</t>
  </si>
  <si>
    <t>no</t>
  </si>
  <si>
    <t>suspensión de licencia</t>
  </si>
  <si>
    <t>ninguna</t>
  </si>
  <si>
    <t>dia 1</t>
  </si>
  <si>
    <t>grua</t>
  </si>
  <si>
    <t>dia 2 al 6</t>
  </si>
  <si>
    <t>dia 7 al 30</t>
  </si>
  <si>
    <t>dia 31 en adelante</t>
  </si>
  <si>
    <t>Motocicleta-Motociclo-Mototriciclo</t>
  </si>
  <si>
    <t>Numero de volquetas</t>
  </si>
  <si>
    <t>rendimiento m3/hora</t>
  </si>
  <si>
    <t>rendimiento m3/dia</t>
  </si>
  <si>
    <t>Afectacion de la poliza</t>
  </si>
  <si>
    <t>Valor de poliza</t>
  </si>
  <si>
    <t>COSTOS ATRIBUIDOS A FALTA DE MANTENIMIENTOS PROGRAMADOS PARA LA MAQUINARIA DE OBRA</t>
  </si>
  <si>
    <t>Tipo de mantenimiento a realizar</t>
  </si>
  <si>
    <t>tipo de mantenimiento</t>
  </si>
  <si>
    <t>Preventivo</t>
  </si>
  <si>
    <t>Correctivo</t>
  </si>
  <si>
    <t>Seleccione la maquinaria a intervenir en el mantenimiento</t>
  </si>
  <si>
    <t>Seleccione la actividad principal que se ejecuta mientras se requiera realizar el mantenimiento</t>
  </si>
  <si>
    <t>Rendimiento de la maquina en m3/hora</t>
  </si>
  <si>
    <t>Valor unitario de la actividad</t>
  </si>
  <si>
    <t>COSTO ATRIBUIDOS A FALTA DE MANTENIMIENTOS PROGRAMADOS</t>
  </si>
  <si>
    <t>Numero de infraccion</t>
  </si>
  <si>
    <t>Daño parcial</t>
  </si>
  <si>
    <t>Perdida total</t>
  </si>
  <si>
    <t>3 smmlv</t>
  </si>
  <si>
    <t>SMMLV EN 2018</t>
  </si>
  <si>
    <t>Causa de la multa: INCUMPLIMIENTO LEGAL DEL SGSST</t>
  </si>
  <si>
    <t>Ley/ Decreto</t>
  </si>
  <si>
    <t>Tamaño de empresa</t>
  </si>
  <si>
    <t>Valor de la Multa en SMMLV</t>
  </si>
  <si>
    <t>Valor de la Multa en COP</t>
  </si>
  <si>
    <t>DESDE</t>
  </si>
  <si>
    <t>HASTA</t>
  </si>
  <si>
    <t xml:space="preserve">DESDE </t>
  </si>
  <si>
    <t>LEY 1562 ART. 13 INCISO 2</t>
  </si>
  <si>
    <t>PEQUEÑA</t>
  </si>
  <si>
    <t>MEDIANA</t>
  </si>
  <si>
    <t>Causa de la multa: MUERTE DE UN TRABAJADOR POR INCUMPLIMIENTO LEGAL</t>
  </si>
  <si>
    <t>LEY 1562 ART. 13 INCISO 4</t>
  </si>
  <si>
    <t>Causa de la multa: INCUMPLIMIENTO REPORTE ATEP QUE AFECTE LA EVALUACION DEL SISTEMA</t>
  </si>
  <si>
    <t>LEY 1562 ART. 30</t>
  </si>
  <si>
    <t>PEQUEÑA EMPRESA</t>
  </si>
  <si>
    <t>MEDIANA EMPRESA</t>
  </si>
  <si>
    <t>COSTOS DIRECTOS DERIVADOS DE DEMANDA POR LUCRO CESANTE</t>
  </si>
  <si>
    <t>Ingrese el salario mensual sin prestaciones sociales de ley del trabajador fallecido:</t>
  </si>
  <si>
    <t>Valor correspondiente al ingreso anual a recibir:</t>
  </si>
  <si>
    <t>Genero del trabajador</t>
  </si>
  <si>
    <t>Femenino</t>
  </si>
  <si>
    <t>Masculino</t>
  </si>
  <si>
    <t>edad de fallecimiento</t>
  </si>
  <si>
    <t>espectativa de vida</t>
  </si>
  <si>
    <t>Valor total a pagar correspondiente al valor de lucro cesante por accidente mortal</t>
  </si>
  <si>
    <t>numero de año</t>
  </si>
  <si>
    <t>INGRESO ANUAL  A RECIBIR ACUMULADO</t>
  </si>
  <si>
    <t>https://www.indexmundi.com/es/colombia/poblacion_perfil.html</t>
  </si>
  <si>
    <t>El ATEL presenciado tiene o no incapacidad?</t>
  </si>
  <si>
    <t>SI</t>
  </si>
  <si>
    <t>NO</t>
  </si>
  <si>
    <t>1.</t>
  </si>
  <si>
    <t>2.</t>
  </si>
  <si>
    <t>3.</t>
  </si>
  <si>
    <t>4a.</t>
  </si>
  <si>
    <t>4b.</t>
  </si>
  <si>
    <t>6.</t>
  </si>
  <si>
    <t>MAESTRO GENERAL DE OBRA</t>
  </si>
  <si>
    <t>OFICIAL DE OBRA</t>
  </si>
  <si>
    <t>AYUDANTE DE OBRA</t>
  </si>
  <si>
    <t>OPERARIO MINICARGADOR</t>
  </si>
  <si>
    <t>OPERARIO RETROEXCAVADORA SOBRE LLANTA</t>
  </si>
  <si>
    <t>OPERARIO COMPACTADOR BENITIN</t>
  </si>
  <si>
    <t>OPERARIO FRESADORA DE ASFALTO</t>
  </si>
  <si>
    <t>OPERARIO VIBROCOMPACTADOR 7TON</t>
  </si>
  <si>
    <t>OPERARIO MOTONIVELADORA</t>
  </si>
  <si>
    <t>OPERARIO TERMINADORA DE ASFALTO FINISHER</t>
  </si>
  <si>
    <t>OPERARIO COMPACTADOR NEUMATICO</t>
  </si>
  <si>
    <t>OPERARIO IRRIGADOR DE ASFALTO</t>
  </si>
  <si>
    <t>CONDUCTOR VOLQUETA</t>
  </si>
  <si>
    <t>5a.</t>
  </si>
  <si>
    <t>TOPOGRAFO</t>
  </si>
  <si>
    <t>De acuerdo a su selección de que colaborador esta involucrado en el ATEL el costo indirecto por este lo deriva un alto en:</t>
  </si>
  <si>
    <t>tipo de alto</t>
  </si>
  <si>
    <t>Seleccione la actividad que se detiene por causa del ATEL:</t>
  </si>
  <si>
    <t>7.</t>
  </si>
  <si>
    <t xml:space="preserve">DESCAPOTE MANUAL </t>
  </si>
  <si>
    <t>INSTALACIÓN ADOQUIN 6CM</t>
  </si>
  <si>
    <t>LOSETA PREFABRICADA A 60</t>
  </si>
  <si>
    <t>CONSTRUCCION DE SUMIDERO TIPO</t>
  </si>
  <si>
    <t>FUNDIDA DE ANDEN EN CONCRETO</t>
  </si>
  <si>
    <t>UNIDAD</t>
  </si>
  <si>
    <t>M3</t>
  </si>
  <si>
    <t>ML</t>
  </si>
  <si>
    <t>M2</t>
  </si>
  <si>
    <t>RELLENO EN RECEBO COMUN</t>
  </si>
  <si>
    <t>RELLENO EN SUB BASE GRANULAR</t>
  </si>
  <si>
    <t>RELLENO EN BASE GRANULAR</t>
  </si>
  <si>
    <t>DEMOLICION CONCRETO ESTRUCTURAL</t>
  </si>
  <si>
    <t>RELLENO CON MATERIAL PROVENIENTE DE EXCAVACION</t>
  </si>
  <si>
    <t>FRESADO CONCRETO ASFALTICO</t>
  </si>
  <si>
    <t>RETROEXCAVADORA</t>
  </si>
  <si>
    <t>MINI</t>
  </si>
  <si>
    <t>PAJARITA</t>
  </si>
  <si>
    <t>BENITIN</t>
  </si>
  <si>
    <t>FRESADORA</t>
  </si>
  <si>
    <t>VIBRO</t>
  </si>
  <si>
    <t>MOTO</t>
  </si>
  <si>
    <t>FINISHER</t>
  </si>
  <si>
    <t>LLANTAS</t>
  </si>
  <si>
    <t>IRRIGADOR</t>
  </si>
  <si>
    <t>MAESTRO</t>
  </si>
  <si>
    <t>OFICIAL</t>
  </si>
  <si>
    <t>MAQUINA/MANO DE OBRA</t>
  </si>
  <si>
    <t>Vehiculos Pesados (Camion-Volqueta-Maquinaria Amarilla)</t>
  </si>
  <si>
    <t>4.</t>
  </si>
  <si>
    <t>Camioneta de los ingenieros</t>
  </si>
  <si>
    <t>Carrotanque de combustible</t>
  </si>
  <si>
    <t>MINICARGADOR</t>
  </si>
  <si>
    <t>-</t>
  </si>
  <si>
    <t>Motocicleta de mensajeria o transporte de ingenieros</t>
  </si>
  <si>
    <t>Transporte de ingenieros</t>
  </si>
  <si>
    <t>Alimentar de combustible la maquinaria</t>
  </si>
  <si>
    <t>Mensajeria o transporte</t>
  </si>
  <si>
    <t>maquinaria</t>
  </si>
  <si>
    <t>IRRIGADOR DE ASFALTO</t>
  </si>
  <si>
    <t>menor patios</t>
  </si>
  <si>
    <t>8.</t>
  </si>
  <si>
    <t>9.</t>
  </si>
  <si>
    <t>10.</t>
  </si>
  <si>
    <t>11.</t>
  </si>
  <si>
    <t>El valor por accidente derivado de gastos por afectados seria:</t>
  </si>
  <si>
    <t>valor dia</t>
  </si>
  <si>
    <t>Costo administrativo por costo indirecto de reemplazo del operario con licencia suspendida que no genera un costo indirecto por alto en actividades</t>
  </si>
  <si>
    <t>Costo administrativo por costo indirecto de reemplazo del automotor ingresado a patios que no genera un costo indirecto por alto en actividades</t>
  </si>
  <si>
    <t>MANTENIMIENTO</t>
  </si>
  <si>
    <t>COSTOS DIRECTOS DERIVADOS DE DEMANDA POR DAÑOS EXTRAPATRIMONIALES</t>
  </si>
  <si>
    <t>DEMANDA DAÑOS EXTRAPATRIMONIALES</t>
  </si>
  <si>
    <t>5b.</t>
  </si>
  <si>
    <t>EXCAVACION MECANICA</t>
  </si>
  <si>
    <t>RIEGO DE IMPRIMACION</t>
  </si>
  <si>
    <t>MEZCLA DENSA EN CALIENTE MDC 25</t>
  </si>
  <si>
    <t>AFIRMADO</t>
  </si>
  <si>
    <t>SARDINEL PREFABRICADO A10</t>
  </si>
  <si>
    <t>Conducir un vehículo: - Sin placas, o sin el permiso vigente expedido por autoridad de tránsito. - Con placas adulteradas. - Con una sola placa, o sin el permiso vigente expedido por autoridad de tránsito.</t>
  </si>
  <si>
    <t>No informar a la autoridad de transito competente el cambio de motor o color de un vehiculo. En ambos casos el vehiculo sera inmobilizado</t>
  </si>
  <si>
    <t>Realizar el cargue o descargue de unvehiculo en sitios y horas prohibidas por las autoridades competentes, de acuerdo con lo establecido en las normas correspondientes</t>
  </si>
  <si>
    <t>No portar como mínimo el siguiente equipo de prevención y seguridad:
a) Un gato con capacidad para elevar el vehículo;
b) Una cruceta;
c) Dos señales de carretera en forma de triángulo en material reflectivo y provistas de soportes para ser colocadas en forma vertical o
lámparas de señal de luz amarilla intermitentes o de destello;
d) Un botiquín de primeros auxilios;
e) Un extintor;
f) Dos tacos para bloquear el vehículo;
g) Caja de herramienta básica que como mínimo deberá contener: Alicate, destornilladores, llave de expansión y llaves fijas;
h) Llanta de repuesto;
i) Linterna.</t>
  </si>
  <si>
    <t>Circular con combinaciones de vehículos de dos (2) o más unidades remolcadas, sin autorización especial de autoridad competente.</t>
  </si>
  <si>
    <t>Conducir un vehículo de carga en que se transporten materiales de construcción o a granel sin las medidas de protección, higiene y
seguridad ordenadas; que no esté debidamente empacada, rotulada, embalada y cubierta conforme a la normatividad técnica nacional cuando
esta aplique, de acuerdo con las exigencias propias de su naturaleza, de manera que cumpla con las medidas de seguridad vial y la
normatividad ambiental. Además el vehículo será inmovilizado.</t>
  </si>
  <si>
    <t xml:space="preserve">No asegurar la carga para evitar que se caigan en la vía las cosas transportadas. Además, se inmovilizará el vehículo hasta tanto se
remedie la situación.
</t>
  </si>
  <si>
    <t>Transportar carga de dimensiones superiores a las autorizadas sin cumplir con los requisitos exigidos. Además, el vehículo será
inmovilizado hasta que se remedie dicha situación</t>
  </si>
  <si>
    <t xml:space="preserve">Conducir un vehículo cuya carga o pasajeros obstruyan la visibilidad del conductor hacia el frente, atrás o costados, o impidan el control
sobre el sistema de dirección, frenos o seguridad. Además el vehículo será inmovilizado.
</t>
  </si>
  <si>
    <t xml:space="preserve"> No realizar la revisión tecnicomecánica y de emisiones contaminantes en los siguientes plazos o cuando aún portando los certificados
correspondientes no cuenta con las siguientes condiciones tecnicomecánicas y de emisiones contaminantes, además el vehículo será
inmovilizado</t>
  </si>
  <si>
    <t xml:space="preserve"> Cuando se detecte o advierta una infracción a las normas de emisión contaminantes o de generación de ruido por vehículos
automotores.</t>
  </si>
  <si>
    <t xml:space="preserve"> Conducir en estado de embriaguez o bajo los efectos de sustancias alucinógenas, se atenderá a lo establecido en el artículo 152 de este
código. Si se trata de conductores de vehículos de servicio público, de transporte escolar o de instructor de conducción, la multa pecuniaria y el
período de suspensión de la licencia se duplicarán. En todos los casos de embriaguez el vehículo será inmovilizado y el estado de embriaguez
o alcoholemia se establecerá mediante una prueba que no cause lesión, la cual será determinada por el Instituto de Medicina Legal y Ciencias
Forenses.</t>
  </si>
  <si>
    <t>12.</t>
  </si>
  <si>
    <t>13.</t>
  </si>
  <si>
    <t>14.</t>
  </si>
  <si>
    <t>15.</t>
  </si>
  <si>
    <t>RESPONSABILIDAD CIVIL</t>
  </si>
  <si>
    <t>ANÁLISIS DE COSTOS POR ACCIDENTE O ENFERMEDAD LABORAL AL NO TENER UN ADECUADO SST</t>
  </si>
  <si>
    <t>Por favor seleccionar los espacios que tienen un asterisco (*) o de color azul claro para dar el análisis de los costos que podría incurrir la empresa de acuerdo a las características de la información ingresada</t>
  </si>
  <si>
    <t>Seleccione el cargo que tuvo o puede llegar a tener el ATEL</t>
  </si>
  <si>
    <t>Ingrese el salario mensual del colaborador que esta involucrado en el ATEL</t>
  </si>
  <si>
    <t>Ingrese el número de horas no incapacitantes (ente 1 y 9):</t>
  </si>
  <si>
    <t>Ingrese el número de días de incapacidad (ente 1 y 360):</t>
  </si>
  <si>
    <t>Nota: Si se activa la celda ingresar un valor entre 1 y 360 correspondientes a los días de incapacidad</t>
  </si>
  <si>
    <t>Días que demora la empresa en dar remplazo al colaborador</t>
  </si>
  <si>
    <t>Nota: Las actividades disponibles son las que se pueden realizar de acuerdo al colaborador seleccionado inicialmente</t>
  </si>
  <si>
    <t>Nota: Si se activa la celda ingresar el valor de los días que tarda la empresa en dar reemplazo al colaborador accidentado, ya sea operario de maquinaria o mano de obra no calificada según la selección No. 1</t>
  </si>
  <si>
    <t>Ingrese el número de horas que tarda la rehabilitación del colaborador incapacitado</t>
  </si>
  <si>
    <t>Costo derivado del pago del primer día de incapacidad:</t>
  </si>
  <si>
    <t>Número de dias de vacaciones del colaborador atribuidos a su incapacidad</t>
  </si>
  <si>
    <t>Costo atribuido al pago de intereses sobre las cesantías del colaborador durante su incapacidad</t>
  </si>
  <si>
    <t>Seleccione si la máquina involucrada en el ATEL es propia o no:</t>
  </si>
  <si>
    <t>Costo por STAND BY de maquinaria involucrada en accidente por ATEL (DÍAS INCAPACITANTES)</t>
  </si>
  <si>
    <t>Rendimiento de la actividad seleccionada de acuerdo a la máquina y/o personal de mano de obra no calificada involucrada en el ATEL dada en Unidad(m3, m2, ml o Unidad)/Hora</t>
  </si>
  <si>
    <t>Valor que deja de facturar la compañía en dicha actividad por alto de mano de obra no calificada  involucrada en accidente por ATEL (DÍAS INCAPACITANTES)</t>
  </si>
  <si>
    <t>Valor que deja de facturar la compañía en dicha actividad por alto de actividades  derivado de las horas necesarias para rehablitación de incapacidad resultante del ATEL</t>
  </si>
  <si>
    <t>Costo por STAND BY de maquinaria involucrada en accidente por ATEL derivado de las horas necesariarias para rehablitación de la incapacidad</t>
  </si>
  <si>
    <t>Valor que deja de facturar la compañía en dicha actividad por alto de maquinaria involucrada en accidente por ATEL derivado de las horas necesarias para rehablitación de incapacidad</t>
  </si>
  <si>
    <t>Indicando que el costo máximo es en el caso que en el accidente el involucrado es el operario de maquinaria escencial de la actividad y con el valor/hora más alto</t>
  </si>
  <si>
    <t>Seleccione el colaborador de tipo administrativo que estaría involucrado en el ATEL:</t>
  </si>
  <si>
    <t>Ingrese el número de dias de incapacidad (ente 1 y 360):</t>
  </si>
  <si>
    <t>Para el caso del personal administrativo en obra, si analizamos el caso de un ATEL solo  se costeará el valor directo del suceso en caso de presentarse; no se analizarán costos indirectos derivados de este ya que contempla demasiadas variables para el objeto de estudio, como disponibilidad de otros ingenieros de la compañia, distribución de cargas adicionales, entre otras que dependen de la capacidad de organización de la empresa y el momento exacto del suceso.</t>
  </si>
  <si>
    <t>Indicando que el costo máximo es en el caso que en el accidente el involucrado es el operario de maquinaria con el salario mensual más alto</t>
  </si>
  <si>
    <t>Costo atribuido al pago de cesantías del colaborador durante su incapacidad</t>
  </si>
  <si>
    <t>ANÁLISIS DE COSTOS DERIVADOS DE NO TENER IMPLEMENTADO UN PESV</t>
  </si>
  <si>
    <t>Seleccione el tipo de vehículo automotor a analizar</t>
  </si>
  <si>
    <t>Dias que demora la empresa en dar remplazo a conductor u operario de vehículo automotor o no automotor</t>
  </si>
  <si>
    <t>Dias que demora la empresa en dar remplazo al vehículo automotor o no automotor</t>
  </si>
  <si>
    <t>Dias que demora la empresa en retirar un vehículo en caso de ser remitido a PATIOS</t>
  </si>
  <si>
    <t>Este vehículo es de tipo administrativo y no restringe la operación por lo tanto no se tiene en cuenta para actividades a facturar de la compañía sin embargo tiene un costo indirecto de reemplazo para el desarrollo de su actividad</t>
  </si>
  <si>
    <t>Selección el tipo de daño que puede tener el vehículo de la empresa involucrado en el accidente</t>
  </si>
  <si>
    <t>Seleccione el vehículo automotor a analizar de acuerdo al tipo de vehículo</t>
  </si>
  <si>
    <t>COSTOS DIRECTOS DERIVADOS DE INFRACCIONES Y/O MULTAS DE TRÁNSITO</t>
  </si>
  <si>
    <t>De acuerdo a la normatividad vigente (Ley 1503 de 2011 y fue reglamentada por el decreto 2851 de 2013.) todas las empresas que para el cumplimiento de sus fines misionales o en desarrollo de sus actividades posean, fabriquen, ensamblen, comercialicen, contraten o administren flotas de vehículos automotores y no automotores, sumados superen diez (10) y/o que por otra parte, contraten o administren personal de conductores, deberán cumplir de manera obligatoria con lo establecido en las normas anteriormente mencionadas; sin embargo a la fecha no hay multas y/o sanciones para las compañias que no tengan implementado el Plan Estratégico de Seguridad Vial (PESV), por ende analizaremos a continuacion los costos directos e indirectos que se pueden llegar a presentar por multas, infracciónes y/o accidentes viales derivados de la no implementación adecuada del PESV</t>
  </si>
  <si>
    <t>Seleccione un número de la lista para evaluar la infracción correspondiente y sus costos derivados</t>
  </si>
  <si>
    <t>Costo que puede llegar a pagar por esta infracción:</t>
  </si>
  <si>
    <t>La infracción seleccionada corresponde a:</t>
  </si>
  <si>
    <t>Costo que genera la infracción derivado de la grúa por inmovilización obligatorio</t>
  </si>
  <si>
    <t>La infracción genera inmovilización del vehículo?</t>
  </si>
  <si>
    <t>Nota 1.: Ingresar el valor en caso de que la infracción genere inmovilización del vehículo</t>
  </si>
  <si>
    <t>Nota 2:El cálculo es directamente proporcional al tipo de vehículo que predonomina en la actividad comercial</t>
  </si>
  <si>
    <t>Costo que genera la infracción derivado de el Costo por ingreso a PATIOS únicamente primer día obligatorio</t>
  </si>
  <si>
    <t>Nota:El cálculo es directamente proporcional al tipo de vehículo que predonomina en la actividad comercial</t>
  </si>
  <si>
    <t>Costo que genera la infracción derivado del Costo por estancia en PATIOS por más de un día, dependiendo lo que se puede demorar la compañía en retirar el vehículo:</t>
  </si>
  <si>
    <t>Nota: Las posibles infracciones a elegir fueron seleccionadas de la Resolución 3027 de 2010  y corresponde al valor monetario que debe pagar la empresa por la infracción de tránsito cometida. Es esta casilla unicamente aparecera el valor de la multa si la empresa tiene responsabilidad en la infracción</t>
  </si>
  <si>
    <t>Nota: El cálculo es directamente proporcional al tipo de vehículo que predonomina en la actividad comercial</t>
  </si>
  <si>
    <t>COSTOS INDIRECTOS DERIVADOS DE INFRACCIONES Y/O MULTAS DE TRÁNSITO</t>
  </si>
  <si>
    <t>Escoger una de las actividades principales para la construcción de una vía</t>
  </si>
  <si>
    <t>Valor que deja de facturar la compañía por ingreso de un vehículo a patios, (calculado a partir del valor que deja de facturar la empresa  los días que se toma la empresa en remplazar el vehículo o de los días que dura el vehículo en patios)</t>
  </si>
  <si>
    <t>Nota: El cálculo es directamente proporcional  al número de días en patios del vehículo automotor o del número de días que dura la empresa en dar reemplazo a este según el que sea menor</t>
  </si>
  <si>
    <t>COSTO INDIRECTO QUE SE GENERA A PARTIR DE UNA INMOVILIZACIÓN Y/O SUSPENSIÓN DE LICENCIA DE UN CONDUCTOR DE UN VEHÍCULO DE LA COMPAÑÍA</t>
  </si>
  <si>
    <t>Valor que deja de facturar la compañía por suspensión de la licencia de un conductor, (calculado a partir del valor que deja de facturar la empresa  los días que se toma la empresa en remplazar el conductor)</t>
  </si>
  <si>
    <t>Nota: Este dato se genera a partir de la infracción anteriormente seleccionada</t>
  </si>
  <si>
    <t>La infracción genera suspensión de la licencia de conducción?</t>
  </si>
  <si>
    <t>COSTOS DERIVADOS DE UN POSIBLE ACCIDENTE DE TRÁNSITO</t>
  </si>
  <si>
    <t>El análisis de este costo parte de el supuesto que la flota de transporte de la compañía cuenta con una póliza todo riesgo para cada vehículo que responde según el clausulado de ley hasta un 90% del valor asegurado</t>
  </si>
  <si>
    <t>Nota: Este varia de acuerdo si desea afectar o no la póliza contra todo riesgo del vehículo</t>
  </si>
  <si>
    <t>El valor que debe asumir la empresa por afectar póliza derivado de afectar esta por el accidente y perder descuentos en el pago del valor de la prima anual de la póliza es:</t>
  </si>
  <si>
    <t>Desea afectar la póliza contra todo riesgo del vehículo involucrado en el accidente de tránsito</t>
  </si>
  <si>
    <t>Ingrese el costo del daño parcial en caso que esta se a su seleccion anterior</t>
  </si>
  <si>
    <t>Nota: No ingresar valor su el accidente ocasiono pérdida total de vehículo</t>
  </si>
  <si>
    <t>Ingrese el costo que puede generar el accidente a un posible afectado, derivado de Daños a bienes, Muertes o lesiones a personas, Gasto de defensa judicial</t>
  </si>
  <si>
    <t>El valor por accidente derivado del daño del vehículo de la empresa sería:</t>
  </si>
  <si>
    <t>Nota: Este varía de acuerdo si desea afectar o no la póliza contra todo riesgo del vehículo</t>
  </si>
  <si>
    <t>El valor de la prima anual de la póliza todo riesgo que debería tener la flota de vehículo en COP($)/vehículo sería:</t>
  </si>
  <si>
    <t>Ingrese el valor comercial del vehículo que puede llegar a tener el accidente de tránsito</t>
  </si>
  <si>
    <t>Este análisis no comprende cuanto vale realizar un mantenimiento a maquinaria en obra, debido a que este es un costo que indiscriminadamente si se tenga o no un Plan Estratégico de Seguridad Vial (PESV) hay que sumarlo a la operación de la compañía; pero si se tendrá en cuenta cuánto deja de facturar la organización al no tener un plan de mantenimientos adecuado y eficaz que lleve a tiempos muertos de obra y alto en actividades.</t>
  </si>
  <si>
    <t>Nota: Primero debe elegir la actividad principal a interrumpir y luego la máquina ó vehículo al que se le realizará mantenimiento</t>
  </si>
  <si>
    <t>Nota: Las actividades mostradas son las que obligan el uso de Maquinaria</t>
  </si>
  <si>
    <t>Tiempo de duración del mantenimiento en horas:</t>
  </si>
  <si>
    <t>ANÁLISIS DE COSTOS POR INCUMPLIMIENTOS LEGALES</t>
  </si>
  <si>
    <t>A continuación se analizarán los costos directos que se le pueden llegar a generar a una compañía por incumplimientos legales de acuerdo a acontecimientos y/o visitas de entes reguladores; De acuerdo a esto el no tener implementado un Plan Estratégico de Seguridad Vial (PESV) no genera una multa a la compañia, pero el no tener implementado un Sistema de Gestión de la Seguridad y Salud en el trabajo (SG-SST) si; a continuación daremos a conocer estos costos a los que la empresa se enfrentaría:</t>
  </si>
  <si>
    <t>Seleccione el tipo de compañía a analizar, de acuerdo a su capacidad organizacional y clasificación:</t>
  </si>
  <si>
    <t>COSTOS DIRECTOS DERIVADOS DE INCLUMPLIENTO LEGAL EN EL SISTEMA DE GESTIÓN DE LA SEGURIDAD Y SALUD EN EL TRABAJO (SG-SST)</t>
  </si>
  <si>
    <t>Valor mínimo de la multa en SMMLV</t>
  </si>
  <si>
    <t>Valor mínimo de la multa en pesos ($)</t>
  </si>
  <si>
    <t>Valor Máximo de la multa en SMMLV</t>
  </si>
  <si>
    <t>Valor Máximo de la multa en pesos ($)</t>
  </si>
  <si>
    <t>COSTOS DIRECTOS DERIVADOS DE INCUMPLIMIENTO EN EL SISTEMA DE GESTIÓN DE SEGURIDAD Y SALUD EN EL TRABAJO (SG-SST) QUE OCASIONEN LA MUERTE DE UNA PERSONA EN LA COMPAÑÍA</t>
  </si>
  <si>
    <t>COSTOS DIRECTOS DERIVADOS DE INCUMPLIMIENTO EN EL SISTEMA DE GESTIÓN DE SEGURIDAD Y SALUD EN EL TRABAJO (SG-SST) OCASIONADOS POR REPORTE DE ATEL QUE AFECTE LA EVALUACIÓN DEL SISTEMA</t>
  </si>
  <si>
    <t>ANÁLISIS DE COSTOS POR DEMANDAS</t>
  </si>
  <si>
    <t>El último factor analizado en este aplicativo son los costos que pueden derivar de un accidente en el caso que el colaborador  o su familia tomen la decisión de demandar a la compañía y esta acción sea fructífera. Nota: no se tienen en cuenta costos de defensa judicial.</t>
  </si>
  <si>
    <t>Valor de las prestaciones sociales de ley que serían pagadas anualmente</t>
  </si>
  <si>
    <t>Proyección del salario anual del trabajador:</t>
  </si>
  <si>
    <t>IPC Promedio en los últimos 10 años</t>
  </si>
  <si>
    <t>Seleccione el género del trabajador fallecido</t>
  </si>
  <si>
    <t>La expectativa de vida del colaborador era:</t>
  </si>
  <si>
    <t>(DAÑO A LA VIDA EN RELACIÓN, DAÑO MORAL, ALTERACIÓN A LAS CONDICIONES DE EXISTENCIA)</t>
  </si>
  <si>
    <t>Seleccione la edad que tenía el trabajador cuando ocurrió el fallecimiento</t>
  </si>
  <si>
    <t>Años en que el trabajador no recibirá dinero</t>
  </si>
  <si>
    <t>Seleccione el número de personas que posiblemente pueden verse afectadas por daños extrapatrimoniales por el accidente mortal del colaborador (núcleo familiar y/o parentesco)</t>
  </si>
  <si>
    <t>Valor mínimo de la posible demanda en SMMLV</t>
  </si>
  <si>
    <t>Valor mínimo de la posible demanda en pesos ($)</t>
  </si>
  <si>
    <t>Valor total mínimo de la posible demanda en pesos ($)</t>
  </si>
  <si>
    <t>VALOR TOTAL MÁXIMO QUE PUEDEN LLEGAR A GENERAR LAS DEMANDAS POR ACCIDENTE</t>
  </si>
  <si>
    <t>Nota: Es el número de horas que se tiene que ausentar por terapias, visitas al médico, entre otras que tome la rehabilitación total del colaborador incapacitado.</t>
  </si>
  <si>
    <t>Nota: Seleccione el tipo de vehículo item 1.</t>
  </si>
  <si>
    <t>Valor máximo de la posible demanda en SMMLV</t>
  </si>
  <si>
    <t>Valor máximo de la posible demanda en pesos ($)</t>
  </si>
  <si>
    <t>Valor total máximo de la posible demanda en pesos ($)</t>
  </si>
  <si>
    <t xml:space="preserve"> COSTOS DIRECTOS GENERADOS POR ATEL EN PERSONAL ADMINISTRATIVO</t>
  </si>
  <si>
    <t>Conducir un vehiculo con placas falsas</t>
  </si>
  <si>
    <t>MULTA/INFRACCIÓN</t>
  </si>
  <si>
    <t>Número de infracción</t>
  </si>
  <si>
    <t>Ninguna</t>
  </si>
  <si>
    <t>Nota: Si se activa la celda ingresa un valor entre 1 y 9 correspondientes a las horas laborales en un día</t>
  </si>
  <si>
    <t>COSTO TOTAL POR DEDUCCIONES A LA PÓLIZA DEL VEHÍCULO POR ACCIDENTE DE TRÁNSITO NO INCLUYE LA PERDIDA DE DESCUENTO</t>
  </si>
  <si>
    <t>FUENTES:</t>
  </si>
  <si>
    <t>VALOR HORA MAQUINA: Valor tomado de los Analisis de Precios Unitarios (APU´s) del Instituto de Infraestructura y Concesiones de Cundinamarca (ICCU) del año 2016 con el respectivo aumento del IPC de los años 2016 y 2017.</t>
  </si>
  <si>
    <t>VALOR UNITARIO DE LA ACTIVIDAD: Valor promedio de la actividad de acuerdo con los municipios objeto de estudio y el listado de precios del ICCU.</t>
  </si>
  <si>
    <t>RENDIMIENTO DE LA MAQUINARIA / JORNADA: Valor tomado de los Analisis de Precios Unitarios (APU´s) del Instituto de Infraestructura y Concesiones de Cundinamarca (ICCU) del año 2016.</t>
  </si>
  <si>
    <t>RENDIMIENTO PERSONAL / JORNADA: Valor tomado de los Analisis de Precios Unitarios (APU´s) del Instituto de Infraestructura y Concesiones de Cundinamarca (ICCU) del año 2016.</t>
  </si>
  <si>
    <t>FUENTES</t>
  </si>
  <si>
    <t>INFRACCION DE TRANSITO A LA QUE ESTA EXPUESTO: Las infracciones contenidas en esta columna son tomadas de la Resolucion 3027 de 2010.</t>
  </si>
  <si>
    <t>VALOR DE LA MULTA (QUE AFECTA DIRECTAMENTE A LA EMPRESA): Valor de acuerdo a la infracción; tomada de la Resolucion 3027 de 2010.</t>
  </si>
  <si>
    <t>COSTO GRUA POR INMOVILIZACION: Valor de acuerdo con el tipo de vehiculo y la Resolución 603 de 2007.</t>
  </si>
  <si>
    <t>VALOR POR PATIOS: Valor de acuerdo al tipo de vehiculo, numero de vehiculos y a la Resolución 603 de 2007.</t>
  </si>
  <si>
    <t>RENDIMIENTO X JORNADA: Valor tomado de los Analisis de Precios Unitarios (APU´s) del Instituto de Infraestructura y Concesiones de Cundinamarca (ICCU) del año 2016.</t>
  </si>
  <si>
    <t>FUENTE</t>
  </si>
  <si>
    <t>Decreto 1072 de 2015, Articulo 2.2.4.11.5. Criterio de proporcionalidad y razonabilidad para la cuantía de la sanción a los empleadores</t>
  </si>
  <si>
    <t>EXPECTATIVA DE VIDA: Valores del 2015 obtenidos de acuerdo con el Departamento Administrativo Nacional de Estadistica (DANE); Indicadores de mortalidad 1985-2015.</t>
  </si>
  <si>
    <t>IPC PROMEDIO ULTIMOS 10 AÑOS: Valores de acuerdo con el Banco de la Republica; http://www.banrep.gov.co/es/ipc.</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</si>
</sst>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quot;$&quot;* #,##0_-;_-&quot;$&quot;* &quot;-&quot;_-;_-@_-"/>
    <numFmt numFmtId="44" formatCode="_-&quot;$&quot;* #,##0.00_-;\-&quot;$&quot;* #,##0.00_-;_-&quot;$&quot;* &quot;-&quot;??_-;_-@_-"/>
    <numFmt numFmtId="43" formatCode="_-* #,##0.00_-;\-* #,##0.00_-;_-* &quot;-&quot;??_-;_-@_-"/>
    <numFmt numFmtId="164" formatCode="_(&quot;$&quot;\ * #,##0_);_(&quot;$&quot;\ * \(#,##0\);_(&quot;$&quot;\ * &quot;-&quot;_);_(@_)"/>
    <numFmt numFmtId="165" formatCode="_(&quot;$&quot;\ * #,##0.00_);_(&quot;$&quot;\ * \(#,##0.00\);_(&quot;$&quot;\ * &quot;-&quot;??_);_(@_)"/>
    <numFmt numFmtId="166" formatCode="&quot;$&quot;#,##0"/>
  </numFmts>
  <fonts count="27" x14ac:knownFonts="1">
    <font>
      <sz val="11"/>
      <color theme="1"/>
      <name val="Calibri"/>
      <family val="2"/>
      <scheme val="minor"/>
    </font>
    <font>
      <sz val="11"/>
      <color theme="1"/>
      <name val="Calibri"/>
      <family val="2"/>
      <scheme val="minor"/>
    </font>
    <font>
      <b/>
      <sz val="14"/>
      <color theme="1"/>
      <name val="Calibri"/>
      <family val="2"/>
      <scheme val="minor"/>
    </font>
    <font>
      <b/>
      <sz val="12"/>
      <color theme="1"/>
      <name val="Calibri"/>
      <family val="2"/>
      <scheme val="minor"/>
    </font>
    <font>
      <sz val="11"/>
      <name val="Calibri"/>
      <family val="2"/>
    </font>
    <font>
      <b/>
      <sz val="11"/>
      <name val="Calibri"/>
      <family val="2"/>
    </font>
    <font>
      <u/>
      <sz val="11"/>
      <color theme="10"/>
      <name val="Calibri"/>
      <family val="2"/>
      <scheme val="minor"/>
    </font>
    <font>
      <sz val="11"/>
      <name val="Calibri"/>
      <family val="2"/>
      <scheme val="minor"/>
    </font>
    <font>
      <b/>
      <sz val="20"/>
      <color theme="1"/>
      <name val="Calibri"/>
      <family val="2"/>
      <scheme val="minor"/>
    </font>
    <font>
      <sz val="11"/>
      <color theme="1"/>
      <name val="Arial Narrow"/>
      <family val="2"/>
    </font>
    <font>
      <b/>
      <sz val="16"/>
      <color theme="1"/>
      <name val="Arial Narrow"/>
      <family val="2"/>
    </font>
    <font>
      <b/>
      <sz val="12"/>
      <color theme="1"/>
      <name val="Arial Narrow"/>
      <family val="2"/>
    </font>
    <font>
      <b/>
      <sz val="11"/>
      <color theme="0"/>
      <name val="Arial Narrow"/>
      <family val="2"/>
    </font>
    <font>
      <sz val="8"/>
      <color theme="1"/>
      <name val="Arial Narrow"/>
      <family val="2"/>
    </font>
    <font>
      <b/>
      <sz val="11"/>
      <color theme="1"/>
      <name val="Arial Narrow"/>
      <family val="2"/>
    </font>
    <font>
      <b/>
      <sz val="14"/>
      <color theme="1"/>
      <name val="Arial Narrow"/>
      <family val="2"/>
    </font>
    <font>
      <sz val="13"/>
      <color theme="1"/>
      <name val="Arial Narrow"/>
      <family val="2"/>
    </font>
    <font>
      <b/>
      <sz val="13"/>
      <color theme="1"/>
      <name val="Arial Narrow"/>
      <family val="2"/>
    </font>
    <font>
      <b/>
      <sz val="13"/>
      <color theme="0"/>
      <name val="Arial Narrow"/>
      <family val="2"/>
    </font>
    <font>
      <b/>
      <sz val="13"/>
      <color rgb="FFFF0000"/>
      <name val="Arial Narrow"/>
      <family val="2"/>
    </font>
    <font>
      <sz val="13"/>
      <color rgb="FFFF0000"/>
      <name val="Arial Narrow"/>
      <family val="2"/>
    </font>
    <font>
      <sz val="13"/>
      <name val="Arial Narrow"/>
      <family val="2"/>
    </font>
    <font>
      <b/>
      <sz val="13"/>
      <name val="Arial Narrow"/>
      <family val="2"/>
    </font>
    <font>
      <sz val="11"/>
      <color rgb="FF000000"/>
      <name val="Arial Narrow"/>
      <family val="2"/>
    </font>
    <font>
      <sz val="10"/>
      <color rgb="FF000000"/>
      <name val="Arial Narrow"/>
      <family val="2"/>
    </font>
    <font>
      <sz val="10"/>
      <color theme="1"/>
      <name val="Arial Narrow"/>
      <family val="2"/>
    </font>
    <font>
      <sz val="13"/>
      <color theme="0" tint="-0.34998626667073579"/>
      <name val="Arial Narrow"/>
      <family val="2"/>
    </font>
  </fonts>
  <fills count="18">
    <fill>
      <patternFill patternType="none"/>
    </fill>
    <fill>
      <patternFill patternType="gray125"/>
    </fill>
    <fill>
      <patternFill patternType="solid">
        <fgColor theme="9" tint="0.39997558519241921"/>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4" tint="-0.49998474074526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6">
    <xf numFmtId="0" fontId="0" fillId="0" borderId="0"/>
    <xf numFmtId="165"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164" fontId="1" fillId="0" borderId="0" applyFont="0" applyFill="0" applyBorder="0" applyAlignment="0" applyProtection="0"/>
  </cellStyleXfs>
  <cellXfs count="443">
    <xf numFmtId="0" fontId="0" fillId="0" borderId="0" xfId="0"/>
    <xf numFmtId="0" fontId="0" fillId="0" borderId="0" xfId="0" applyBorder="1"/>
    <xf numFmtId="0" fontId="0" fillId="0" borderId="0" xfId="0" applyFill="1" applyBorder="1"/>
    <xf numFmtId="0" fontId="0" fillId="0" borderId="0" xfId="0" applyAlignment="1">
      <alignment wrapText="1"/>
    </xf>
    <xf numFmtId="0" fontId="0" fillId="0" borderId="11" xfId="0" applyBorder="1" applyAlignment="1">
      <alignment horizontal="right" vertical="center"/>
    </xf>
    <xf numFmtId="165" fontId="0" fillId="0" borderId="1" xfId="1" applyFont="1" applyBorder="1" applyAlignment="1">
      <alignment horizontal="right" vertical="center"/>
    </xf>
    <xf numFmtId="0" fontId="0" fillId="0" borderId="1" xfId="0" applyBorder="1" applyAlignment="1">
      <alignment horizontal="right" vertical="center"/>
    </xf>
    <xf numFmtId="0" fontId="0" fillId="0" borderId="13" xfId="0" applyBorder="1" applyAlignment="1">
      <alignment horizontal="right" vertical="center"/>
    </xf>
    <xf numFmtId="165" fontId="0" fillId="0" borderId="14" xfId="1" applyFont="1" applyBorder="1" applyAlignment="1">
      <alignment horizontal="right" vertical="center"/>
    </xf>
    <xf numFmtId="0" fontId="0" fillId="0" borderId="14" xfId="0" applyBorder="1" applyAlignment="1">
      <alignment horizontal="right" vertical="center"/>
    </xf>
    <xf numFmtId="0" fontId="0" fillId="0" borderId="11" xfId="0" applyBorder="1" applyAlignment="1">
      <alignment horizontal="right" vertical="center" wrapText="1"/>
    </xf>
    <xf numFmtId="0" fontId="0" fillId="0" borderId="1" xfId="0" applyBorder="1" applyAlignment="1">
      <alignment horizontal="right" vertical="center" wrapText="1"/>
    </xf>
    <xf numFmtId="0" fontId="0" fillId="0" borderId="13" xfId="0" applyBorder="1" applyAlignment="1">
      <alignment horizontal="right" vertical="center" wrapText="1"/>
    </xf>
    <xf numFmtId="0" fontId="0" fillId="0" borderId="14" xfId="0" applyBorder="1" applyAlignment="1">
      <alignment horizontal="right" vertical="center" wrapText="1"/>
    </xf>
    <xf numFmtId="165" fontId="0" fillId="0" borderId="1" xfId="1" applyFont="1" applyBorder="1" applyAlignment="1">
      <alignment horizontal="right" vertical="center" wrapText="1"/>
    </xf>
    <xf numFmtId="0" fontId="0" fillId="0" borderId="1" xfId="0" applyBorder="1" applyAlignment="1">
      <alignment horizontal="right" wrapText="1"/>
    </xf>
    <xf numFmtId="165" fontId="0" fillId="0" borderId="1" xfId="1" applyFont="1" applyBorder="1" applyAlignment="1">
      <alignment horizontal="right" wrapText="1"/>
    </xf>
    <xf numFmtId="165" fontId="0" fillId="0" borderId="1" xfId="0" applyNumberFormat="1" applyBorder="1" applyAlignment="1">
      <alignment horizontal="right" vertical="center" wrapText="1"/>
    </xf>
    <xf numFmtId="0" fontId="0" fillId="0" borderId="12" xfId="0" applyBorder="1" applyAlignment="1">
      <alignment horizontal="right" vertical="center" wrapText="1"/>
    </xf>
    <xf numFmtId="165" fontId="0" fillId="0" borderId="14" xfId="0" applyNumberFormat="1" applyBorder="1" applyAlignment="1">
      <alignment horizontal="right" vertical="center" wrapText="1"/>
    </xf>
    <xf numFmtId="0" fontId="0" fillId="0" borderId="15" xfId="0" applyBorder="1" applyAlignment="1">
      <alignment horizontal="right" vertical="center" wrapText="1"/>
    </xf>
    <xf numFmtId="0" fontId="0" fillId="0" borderId="11" xfId="0" applyBorder="1" applyAlignment="1">
      <alignment horizontal="right" wrapText="1"/>
    </xf>
    <xf numFmtId="0" fontId="0" fillId="0" borderId="12" xfId="0" applyBorder="1" applyAlignment="1">
      <alignment horizontal="right" wrapText="1"/>
    </xf>
    <xf numFmtId="165" fontId="0" fillId="0" borderId="12" xfId="1" applyFont="1" applyBorder="1" applyAlignment="1">
      <alignment horizontal="right" wrapText="1"/>
    </xf>
    <xf numFmtId="0" fontId="0" fillId="0" borderId="13" xfId="0" applyFill="1" applyBorder="1" applyAlignment="1">
      <alignment horizontal="right" wrapText="1"/>
    </xf>
    <xf numFmtId="165" fontId="0" fillId="0" borderId="14" xfId="1" applyFont="1" applyBorder="1" applyAlignment="1">
      <alignment horizontal="right" wrapText="1"/>
    </xf>
    <xf numFmtId="165" fontId="0" fillId="0" borderId="15" xfId="1" applyFont="1" applyBorder="1" applyAlignment="1">
      <alignment horizontal="right" wrapText="1"/>
    </xf>
    <xf numFmtId="0" fontId="0" fillId="0" borderId="1" xfId="0" applyBorder="1"/>
    <xf numFmtId="0" fontId="0" fillId="0" borderId="1" xfId="0" applyBorder="1" applyAlignment="1">
      <alignment wrapText="1"/>
    </xf>
    <xf numFmtId="165" fontId="0" fillId="0" borderId="0" xfId="1" applyFont="1"/>
    <xf numFmtId="165" fontId="0" fillId="0" borderId="1" xfId="1" applyFont="1" applyBorder="1"/>
    <xf numFmtId="165" fontId="0" fillId="0" borderId="0" xfId="0" applyNumberFormat="1"/>
    <xf numFmtId="0" fontId="0" fillId="0" borderId="24" xfId="0" applyBorder="1"/>
    <xf numFmtId="0" fontId="0" fillId="7" borderId="24" xfId="0" applyFill="1" applyBorder="1"/>
    <xf numFmtId="0" fontId="0" fillId="7" borderId="1" xfId="0" applyFill="1" applyBorder="1"/>
    <xf numFmtId="0" fontId="0" fillId="7" borderId="1" xfId="0" applyFill="1" applyBorder="1" applyAlignment="1">
      <alignment wrapText="1"/>
    </xf>
    <xf numFmtId="0" fontId="0" fillId="0" borderId="12" xfId="0" applyBorder="1"/>
    <xf numFmtId="0" fontId="0" fillId="0" borderId="14" xfId="0" applyBorder="1"/>
    <xf numFmtId="0" fontId="0" fillId="0" borderId="15" xfId="0" applyBorder="1"/>
    <xf numFmtId="0" fontId="0" fillId="0" borderId="11" xfId="0" applyBorder="1"/>
    <xf numFmtId="0" fontId="0" fillId="0" borderId="14" xfId="0" applyFill="1" applyBorder="1"/>
    <xf numFmtId="165" fontId="0" fillId="0" borderId="14" xfId="0" applyNumberFormat="1" applyFill="1" applyBorder="1"/>
    <xf numFmtId="0" fontId="4" fillId="0" borderId="0" xfId="0" applyFont="1" applyAlignment="1"/>
    <xf numFmtId="0" fontId="0" fillId="0" borderId="0" xfId="0" applyFont="1" applyAlignment="1"/>
    <xf numFmtId="166" fontId="5" fillId="0" borderId="27" xfId="0" applyNumberFormat="1" applyFont="1" applyBorder="1" applyAlignment="1"/>
    <xf numFmtId="0" fontId="4" fillId="0" borderId="27" xfId="0" applyFont="1" applyBorder="1" applyAlignment="1">
      <alignment horizontal="center"/>
    </xf>
    <xf numFmtId="0" fontId="4" fillId="0" borderId="27" xfId="0" applyFont="1" applyBorder="1" applyAlignment="1"/>
    <xf numFmtId="166" fontId="4" fillId="0" borderId="27" xfId="0" applyNumberFormat="1" applyFont="1" applyBorder="1"/>
    <xf numFmtId="0" fontId="5" fillId="9" borderId="27" xfId="0" applyFont="1" applyFill="1" applyBorder="1" applyAlignment="1"/>
    <xf numFmtId="0" fontId="4" fillId="9" borderId="27" xfId="0" applyFont="1" applyFill="1" applyBorder="1" applyAlignment="1">
      <alignment horizontal="center"/>
    </xf>
    <xf numFmtId="0" fontId="0" fillId="9" borderId="1" xfId="0" applyFill="1" applyBorder="1"/>
    <xf numFmtId="10" fontId="0" fillId="0" borderId="1" xfId="0" applyNumberFormat="1" applyBorder="1"/>
    <xf numFmtId="0" fontId="0" fillId="0" borderId="1" xfId="0" applyFont="1" applyBorder="1" applyAlignment="1"/>
    <xf numFmtId="10" fontId="0" fillId="9" borderId="1" xfId="3" applyNumberFormat="1" applyFont="1" applyFill="1" applyBorder="1" applyAlignment="1"/>
    <xf numFmtId="0" fontId="0" fillId="9" borderId="1" xfId="0" applyFont="1" applyFill="1" applyBorder="1" applyAlignment="1"/>
    <xf numFmtId="42" fontId="0" fillId="9" borderId="1" xfId="0" applyNumberFormat="1" applyFont="1" applyFill="1" applyBorder="1" applyAlignment="1"/>
    <xf numFmtId="44" fontId="0" fillId="0" borderId="1" xfId="0" applyNumberFormat="1" applyFont="1" applyBorder="1" applyAlignment="1"/>
    <xf numFmtId="0" fontId="6" fillId="0" borderId="0" xfId="4"/>
    <xf numFmtId="0" fontId="0" fillId="0" borderId="0" xfId="0" applyBorder="1" applyAlignment="1">
      <alignment horizontal="right" vertical="center"/>
    </xf>
    <xf numFmtId="165" fontId="0" fillId="0" borderId="0" xfId="1" applyFont="1" applyBorder="1" applyAlignment="1">
      <alignment horizontal="right" vertical="center"/>
    </xf>
    <xf numFmtId="0" fontId="0" fillId="0" borderId="0" xfId="0" applyBorder="1" applyAlignment="1">
      <alignment horizontal="right" vertical="center" wrapText="1"/>
    </xf>
    <xf numFmtId="0" fontId="0" fillId="0" borderId="0" xfId="0" applyFill="1" applyBorder="1" applyAlignment="1">
      <alignment horizontal="right" vertical="center" wrapText="1"/>
    </xf>
    <xf numFmtId="165" fontId="0" fillId="0" borderId="0" xfId="1" applyFont="1" applyBorder="1" applyAlignment="1">
      <alignment horizontal="right" vertical="center" wrapText="1"/>
    </xf>
    <xf numFmtId="0" fontId="2" fillId="0" borderId="0" xfId="0" applyFont="1" applyFill="1" applyBorder="1" applyAlignment="1">
      <alignment wrapText="1"/>
    </xf>
    <xf numFmtId="165" fontId="0" fillId="0" borderId="0" xfId="1" applyFont="1" applyFill="1" applyBorder="1" applyAlignment="1">
      <alignment horizontal="right" vertical="center" wrapText="1"/>
    </xf>
    <xf numFmtId="0" fontId="2" fillId="7" borderId="35" xfId="0" applyFont="1" applyFill="1" applyBorder="1" applyAlignment="1">
      <alignment wrapText="1"/>
    </xf>
    <xf numFmtId="0" fontId="0" fillId="0" borderId="0" xfId="0" applyAlignment="1">
      <alignment horizontal="right"/>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9" xfId="0" applyFill="1" applyBorder="1" applyAlignment="1">
      <alignment horizontal="right" vertical="center" wrapText="1"/>
    </xf>
    <xf numFmtId="0" fontId="0" fillId="0" borderId="10" xfId="0" applyFill="1" applyBorder="1" applyAlignment="1">
      <alignment horizontal="right" vertical="center" wrapText="1"/>
    </xf>
    <xf numFmtId="0" fontId="0" fillId="0" borderId="0" xfId="0" applyFill="1" applyBorder="1" applyAlignment="1">
      <alignment horizontal="right"/>
    </xf>
    <xf numFmtId="0" fontId="0" fillId="0" borderId="9" xfId="0" applyBorder="1" applyAlignment="1">
      <alignment wrapText="1"/>
    </xf>
    <xf numFmtId="0" fontId="0" fillId="0" borderId="9" xfId="0" applyBorder="1"/>
    <xf numFmtId="0" fontId="0" fillId="0" borderId="12"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0" xfId="0" applyFill="1" applyBorder="1" applyAlignment="1">
      <alignment wrapText="1"/>
    </xf>
    <xf numFmtId="0" fontId="0" fillId="0" borderId="1" xfId="0" applyFill="1" applyBorder="1" applyAlignment="1">
      <alignment wrapText="1"/>
    </xf>
    <xf numFmtId="0" fontId="0" fillId="0" borderId="39" xfId="0" applyBorder="1"/>
    <xf numFmtId="0" fontId="0" fillId="0" borderId="40" xfId="0" applyFill="1" applyBorder="1" applyAlignment="1">
      <alignment wrapText="1"/>
    </xf>
    <xf numFmtId="0" fontId="0" fillId="0" borderId="40" xfId="0" applyFill="1" applyBorder="1"/>
    <xf numFmtId="165" fontId="0" fillId="0" borderId="40" xfId="0" applyNumberFormat="1" applyFill="1" applyBorder="1"/>
    <xf numFmtId="0" fontId="0" fillId="0" borderId="41" xfId="0" applyFill="1" applyBorder="1"/>
    <xf numFmtId="0" fontId="0" fillId="7" borderId="42" xfId="0" applyFill="1" applyBorder="1" applyAlignment="1">
      <alignment wrapText="1"/>
    </xf>
    <xf numFmtId="0" fontId="0" fillId="7" borderId="43" xfId="0" applyFill="1" applyBorder="1" applyAlignment="1">
      <alignment horizontal="center" vertical="center" wrapText="1"/>
    </xf>
    <xf numFmtId="0" fontId="0" fillId="7" borderId="44" xfId="0" applyFill="1" applyBorder="1" applyAlignment="1">
      <alignment wrapText="1"/>
    </xf>
    <xf numFmtId="0" fontId="0" fillId="0" borderId="26" xfId="0" applyBorder="1" applyAlignment="1">
      <alignment wrapText="1"/>
    </xf>
    <xf numFmtId="0" fontId="0" fillId="0" borderId="38" xfId="0" applyBorder="1" applyAlignment="1">
      <alignment wrapText="1"/>
    </xf>
    <xf numFmtId="165" fontId="0" fillId="13" borderId="0" xfId="1" applyFont="1" applyFill="1"/>
    <xf numFmtId="0" fontId="0" fillId="0" borderId="38" xfId="0" applyBorder="1"/>
    <xf numFmtId="0" fontId="0" fillId="0" borderId="51" xfId="0" applyFill="1" applyBorder="1"/>
    <xf numFmtId="0" fontId="0" fillId="15" borderId="11" xfId="0" applyFill="1" applyBorder="1" applyAlignment="1">
      <alignment horizontal="right" vertical="center"/>
    </xf>
    <xf numFmtId="165" fontId="0" fillId="15" borderId="1" xfId="1" applyFont="1" applyFill="1" applyBorder="1" applyAlignment="1">
      <alignment horizontal="right" vertical="center"/>
    </xf>
    <xf numFmtId="0" fontId="0" fillId="15" borderId="1" xfId="0" applyFill="1" applyBorder="1" applyAlignment="1">
      <alignment horizontal="right" vertical="center"/>
    </xf>
    <xf numFmtId="0" fontId="0" fillId="0" borderId="0" xfId="0" applyFill="1" applyBorder="1" applyAlignment="1">
      <alignment horizontal="right" vertical="center"/>
    </xf>
    <xf numFmtId="0" fontId="0" fillId="14" borderId="11" xfId="0" applyFill="1" applyBorder="1" applyAlignment="1">
      <alignment horizontal="right" vertical="center"/>
    </xf>
    <xf numFmtId="165" fontId="0" fillId="14" borderId="1" xfId="1" applyFont="1" applyFill="1" applyBorder="1" applyAlignment="1">
      <alignment horizontal="right" vertical="center"/>
    </xf>
    <xf numFmtId="0" fontId="0" fillId="14" borderId="1" xfId="0" applyFill="1" applyBorder="1" applyAlignment="1">
      <alignment horizontal="right" vertical="center"/>
    </xf>
    <xf numFmtId="0" fontId="0" fillId="14" borderId="33" xfId="0" applyFill="1" applyBorder="1" applyAlignment="1">
      <alignment horizontal="right" vertical="center"/>
    </xf>
    <xf numFmtId="165" fontId="0" fillId="14" borderId="34" xfId="1" applyFont="1" applyFill="1" applyBorder="1" applyAlignment="1">
      <alignment horizontal="right" vertical="center"/>
    </xf>
    <xf numFmtId="0" fontId="0" fillId="14" borderId="34" xfId="0" applyFill="1" applyBorder="1" applyAlignment="1">
      <alignment horizontal="right" vertical="center"/>
    </xf>
    <xf numFmtId="0" fontId="7" fillId="14" borderId="11" xfId="0" applyFont="1" applyFill="1" applyBorder="1" applyAlignment="1">
      <alignment horizontal="right" vertical="center" wrapText="1"/>
    </xf>
    <xf numFmtId="0" fontId="0" fillId="14" borderId="1" xfId="0" applyFill="1" applyBorder="1" applyAlignment="1">
      <alignment horizontal="right" vertical="center" wrapText="1"/>
    </xf>
    <xf numFmtId="165" fontId="0" fillId="14" borderId="1" xfId="1" applyFont="1" applyFill="1" applyBorder="1" applyAlignment="1">
      <alignment horizontal="right" vertical="center" wrapText="1"/>
    </xf>
    <xf numFmtId="0" fontId="0" fillId="14" borderId="11" xfId="0" applyFill="1" applyBorder="1" applyAlignment="1">
      <alignment horizontal="right" vertical="center" wrapText="1"/>
    </xf>
    <xf numFmtId="0" fontId="0" fillId="14" borderId="11" xfId="0" applyFill="1" applyBorder="1" applyAlignment="1">
      <alignment horizontal="right"/>
    </xf>
    <xf numFmtId="0" fontId="0" fillId="14" borderId="1" xfId="0" applyFill="1" applyBorder="1" applyAlignment="1">
      <alignment horizontal="right"/>
    </xf>
    <xf numFmtId="165" fontId="0" fillId="14" borderId="1" xfId="1" applyFont="1" applyFill="1" applyBorder="1"/>
    <xf numFmtId="0" fontId="0" fillId="14" borderId="13" xfId="0" applyFill="1" applyBorder="1" applyAlignment="1">
      <alignment horizontal="right"/>
    </xf>
    <xf numFmtId="0" fontId="0" fillId="14" borderId="14" xfId="0" applyFill="1" applyBorder="1" applyAlignment="1">
      <alignment horizontal="right"/>
    </xf>
    <xf numFmtId="165" fontId="0" fillId="14" borderId="14" xfId="1" applyFont="1" applyFill="1" applyBorder="1"/>
    <xf numFmtId="0" fontId="0" fillId="14" borderId="36" xfId="0" applyFill="1" applyBorder="1" applyAlignment="1">
      <alignment horizontal="right" vertical="center" wrapText="1"/>
    </xf>
    <xf numFmtId="0" fontId="0" fillId="14" borderId="37" xfId="0" applyFill="1" applyBorder="1" applyAlignment="1">
      <alignment horizontal="right" vertical="center" wrapText="1"/>
    </xf>
    <xf numFmtId="0" fontId="0" fillId="15" borderId="12" xfId="0" applyFill="1" applyBorder="1"/>
    <xf numFmtId="0" fontId="0" fillId="14" borderId="12" xfId="0" applyFill="1" applyBorder="1"/>
    <xf numFmtId="0" fontId="3" fillId="0" borderId="52" xfId="0" applyFont="1" applyBorder="1" applyAlignment="1">
      <alignment horizontal="right" vertical="center" wrapText="1"/>
    </xf>
    <xf numFmtId="0" fontId="3" fillId="0" borderId="38" xfId="0" applyFont="1" applyBorder="1" applyAlignment="1">
      <alignment horizontal="right" vertical="center" wrapText="1"/>
    </xf>
    <xf numFmtId="0" fontId="3" fillId="0" borderId="53" xfId="0" applyFont="1" applyFill="1" applyBorder="1" applyAlignment="1">
      <alignment horizontal="right" vertical="center" wrapText="1"/>
    </xf>
    <xf numFmtId="0" fontId="0" fillId="6" borderId="35" xfId="0" applyFill="1" applyBorder="1" applyAlignment="1">
      <alignment horizontal="right" vertical="center"/>
    </xf>
    <xf numFmtId="0" fontId="0" fillId="6" borderId="36" xfId="0" applyFill="1" applyBorder="1" applyAlignment="1">
      <alignment horizontal="right" vertical="center"/>
    </xf>
    <xf numFmtId="0" fontId="0" fillId="6" borderId="3" xfId="0" applyFill="1" applyBorder="1"/>
    <xf numFmtId="0" fontId="0" fillId="6" borderId="56" xfId="0" applyFill="1" applyBorder="1" applyAlignment="1">
      <alignment horizontal="right" vertical="center" wrapText="1"/>
    </xf>
    <xf numFmtId="0" fontId="0" fillId="6" borderId="36" xfId="0" applyFill="1" applyBorder="1" applyAlignment="1">
      <alignment horizontal="right" vertical="center" wrapText="1"/>
    </xf>
    <xf numFmtId="0" fontId="0" fillId="6" borderId="37" xfId="0" applyFill="1" applyBorder="1" applyAlignment="1">
      <alignment horizontal="right" vertical="center" wrapText="1"/>
    </xf>
    <xf numFmtId="0" fontId="0" fillId="6" borderId="58" xfId="0" applyFill="1" applyBorder="1" applyAlignment="1">
      <alignment horizontal="right" vertical="center" wrapText="1"/>
    </xf>
    <xf numFmtId="0" fontId="0" fillId="6" borderId="43" xfId="0" applyFill="1" applyBorder="1" applyAlignment="1">
      <alignment horizontal="right" vertical="center" wrapText="1"/>
    </xf>
    <xf numFmtId="0" fontId="0" fillId="6" borderId="43" xfId="0" applyFill="1" applyBorder="1" applyAlignment="1">
      <alignment horizontal="right" wrapText="1"/>
    </xf>
    <xf numFmtId="0" fontId="0" fillId="6" borderId="44" xfId="0" applyFill="1" applyBorder="1" applyAlignment="1">
      <alignment horizontal="right" wrapText="1"/>
    </xf>
    <xf numFmtId="0" fontId="0" fillId="0" borderId="10" xfId="0" applyFill="1" applyBorder="1"/>
    <xf numFmtId="0" fontId="0" fillId="0" borderId="12" xfId="0" applyFill="1" applyBorder="1"/>
    <xf numFmtId="0" fontId="0" fillId="0" borderId="12" xfId="0" applyFill="1" applyBorder="1" applyAlignment="1">
      <alignment horizontal="right" vertical="center" wrapText="1"/>
    </xf>
    <xf numFmtId="165" fontId="0" fillId="0" borderId="54" xfId="1" applyFont="1" applyBorder="1" applyAlignment="1">
      <alignment wrapText="1"/>
    </xf>
    <xf numFmtId="9" fontId="0" fillId="0" borderId="26" xfId="3" applyFont="1" applyBorder="1" applyAlignment="1">
      <alignment wrapText="1"/>
    </xf>
    <xf numFmtId="0" fontId="0" fillId="6" borderId="35" xfId="0" applyFill="1" applyBorder="1" applyAlignment="1">
      <alignment wrapText="1"/>
    </xf>
    <xf numFmtId="0" fontId="0" fillId="6" borderId="36" xfId="0" applyFill="1" applyBorder="1" applyAlignment="1">
      <alignment wrapText="1"/>
    </xf>
    <xf numFmtId="0" fontId="0" fillId="6" borderId="37" xfId="0" applyFill="1" applyBorder="1" applyAlignment="1">
      <alignment wrapText="1"/>
    </xf>
    <xf numFmtId="0" fontId="0" fillId="2" borderId="55" xfId="0" applyFill="1" applyBorder="1" applyAlignment="1">
      <alignment wrapText="1"/>
    </xf>
    <xf numFmtId="0" fontId="0" fillId="2" borderId="14" xfId="0" applyFill="1" applyBorder="1" applyAlignment="1">
      <alignment wrapText="1"/>
    </xf>
    <xf numFmtId="0" fontId="0" fillId="10" borderId="55" xfId="0" applyFill="1" applyBorder="1" applyAlignment="1">
      <alignment wrapText="1"/>
    </xf>
    <xf numFmtId="0" fontId="0" fillId="10" borderId="14" xfId="0" applyFill="1" applyBorder="1" applyAlignment="1">
      <alignment wrapText="1"/>
    </xf>
    <xf numFmtId="0" fontId="0" fillId="10" borderId="15" xfId="0" applyFill="1" applyBorder="1"/>
    <xf numFmtId="0" fontId="0" fillId="6" borderId="8" xfId="0" applyFill="1" applyBorder="1" applyAlignment="1">
      <alignment wrapText="1"/>
    </xf>
    <xf numFmtId="9" fontId="0" fillId="6" borderId="11" xfId="3" applyFont="1" applyFill="1" applyBorder="1" applyAlignment="1">
      <alignment wrapText="1"/>
    </xf>
    <xf numFmtId="0" fontId="0" fillId="6" borderId="11" xfId="0" applyFill="1" applyBorder="1" applyAlignment="1">
      <alignment wrapText="1"/>
    </xf>
    <xf numFmtId="0" fontId="0" fillId="6" borderId="11" xfId="0" applyFill="1" applyBorder="1" applyAlignment="1">
      <alignment horizontal="right" vertical="center" wrapText="1"/>
    </xf>
    <xf numFmtId="0" fontId="0" fillId="6" borderId="13" xfId="0" applyFill="1" applyBorder="1" applyAlignment="1">
      <alignment horizontal="right" vertical="center" wrapText="1"/>
    </xf>
    <xf numFmtId="0" fontId="0" fillId="6" borderId="8" xfId="0" applyFill="1" applyBorder="1"/>
    <xf numFmtId="0" fontId="0" fillId="6" borderId="9" xfId="0" applyFill="1" applyBorder="1" applyAlignment="1">
      <alignment horizontal="right" vertical="center" wrapText="1"/>
    </xf>
    <xf numFmtId="0" fontId="0" fillId="6" borderId="10" xfId="0" applyFill="1" applyBorder="1" applyAlignment="1">
      <alignment horizontal="right" vertical="center" wrapText="1"/>
    </xf>
    <xf numFmtId="0" fontId="0" fillId="6" borderId="52" xfId="0" applyFill="1" applyBorder="1" applyAlignment="1">
      <alignment wrapText="1"/>
    </xf>
    <xf numFmtId="0" fontId="0" fillId="16" borderId="14" xfId="0" applyFill="1" applyBorder="1" applyAlignment="1">
      <alignment wrapText="1"/>
    </xf>
    <xf numFmtId="0" fontId="0" fillId="2" borderId="15" xfId="0" applyFill="1" applyBorder="1" applyAlignment="1">
      <alignment wrapText="1"/>
    </xf>
    <xf numFmtId="0" fontId="0" fillId="16" borderId="26" xfId="0" applyFill="1" applyBorder="1" applyAlignment="1">
      <alignment horizontal="right" vertical="center" wrapText="1"/>
    </xf>
    <xf numFmtId="0" fontId="0" fillId="16" borderId="1" xfId="0" applyFill="1" applyBorder="1" applyAlignment="1">
      <alignment horizontal="right" vertical="center" wrapText="1"/>
    </xf>
    <xf numFmtId="0" fontId="0" fillId="16" borderId="1" xfId="0" applyFill="1" applyBorder="1" applyAlignment="1">
      <alignment wrapText="1"/>
    </xf>
    <xf numFmtId="0" fontId="0" fillId="16" borderId="12" xfId="0" applyFill="1" applyBorder="1"/>
    <xf numFmtId="0" fontId="0" fillId="16" borderId="12" xfId="0" applyFill="1" applyBorder="1" applyAlignment="1">
      <alignment wrapText="1"/>
    </xf>
    <xf numFmtId="0" fontId="0" fillId="16" borderId="57" xfId="0" applyFill="1" applyBorder="1" applyAlignment="1">
      <alignment horizontal="right" vertical="center" wrapText="1"/>
    </xf>
    <xf numFmtId="0" fontId="0" fillId="16" borderId="38" xfId="0" applyFill="1" applyBorder="1" applyAlignment="1">
      <alignment horizontal="right" vertical="center" wrapText="1"/>
    </xf>
    <xf numFmtId="0" fontId="0" fillId="16" borderId="38" xfId="0" applyFill="1" applyBorder="1" applyAlignment="1">
      <alignment wrapText="1"/>
    </xf>
    <xf numFmtId="0" fontId="0" fillId="16" borderId="53" xfId="0" applyFill="1" applyBorder="1"/>
    <xf numFmtId="0" fontId="0" fillId="16" borderId="54" xfId="0" applyFill="1" applyBorder="1" applyAlignment="1">
      <alignment horizontal="right" wrapText="1"/>
    </xf>
    <xf numFmtId="0" fontId="0" fillId="16" borderId="9" xfId="0" applyFill="1" applyBorder="1" applyAlignment="1">
      <alignment wrapText="1"/>
    </xf>
    <xf numFmtId="0" fontId="0" fillId="16" borderId="9" xfId="0" applyFill="1" applyBorder="1"/>
    <xf numFmtId="0" fontId="0" fillId="16" borderId="10" xfId="0" applyFill="1" applyBorder="1"/>
    <xf numFmtId="0" fontId="0" fillId="16" borderId="26" xfId="0" applyFill="1" applyBorder="1" applyAlignment="1">
      <alignment horizontal="right" wrapText="1"/>
    </xf>
    <xf numFmtId="0" fontId="0" fillId="16" borderId="1" xfId="0" applyFill="1" applyBorder="1"/>
    <xf numFmtId="0" fontId="0" fillId="16" borderId="51" xfId="0" applyFill="1" applyBorder="1"/>
    <xf numFmtId="0" fontId="0" fillId="16" borderId="26" xfId="0" applyFill="1" applyBorder="1" applyAlignment="1">
      <alignment wrapText="1"/>
    </xf>
    <xf numFmtId="0" fontId="0" fillId="16" borderId="55" xfId="0" applyFill="1" applyBorder="1" applyAlignment="1">
      <alignment wrapText="1"/>
    </xf>
    <xf numFmtId="0" fontId="0" fillId="2" borderId="26" xfId="0" applyFill="1" applyBorder="1" applyAlignment="1">
      <alignment wrapText="1"/>
    </xf>
    <xf numFmtId="0" fontId="0" fillId="2" borderId="1" xfId="0" applyFill="1" applyBorder="1" applyAlignment="1">
      <alignment wrapText="1"/>
    </xf>
    <xf numFmtId="0" fontId="0" fillId="2" borderId="12" xfId="0" applyFill="1" applyBorder="1" applyAlignment="1">
      <alignment wrapText="1"/>
    </xf>
    <xf numFmtId="0" fontId="0" fillId="12" borderId="14" xfId="0" applyFill="1" applyBorder="1" applyAlignment="1">
      <alignment horizontal="right" vertical="center" wrapText="1"/>
    </xf>
    <xf numFmtId="0" fontId="0" fillId="12" borderId="14" xfId="0" applyFill="1" applyBorder="1" applyAlignment="1">
      <alignment wrapText="1"/>
    </xf>
    <xf numFmtId="0" fontId="0" fillId="12" borderId="15" xfId="0" applyFill="1" applyBorder="1" applyAlignment="1">
      <alignment wrapText="1"/>
    </xf>
    <xf numFmtId="0" fontId="0" fillId="12" borderId="1" xfId="0" applyFill="1" applyBorder="1" applyAlignment="1">
      <alignment horizontal="right" vertical="center" wrapText="1"/>
    </xf>
    <xf numFmtId="0" fontId="0" fillId="12" borderId="1" xfId="0" applyFill="1" applyBorder="1" applyAlignment="1">
      <alignment wrapText="1"/>
    </xf>
    <xf numFmtId="0" fontId="0" fillId="12" borderId="12" xfId="0" applyFill="1" applyBorder="1" applyAlignment="1">
      <alignment wrapText="1"/>
    </xf>
    <xf numFmtId="0" fontId="0" fillId="12" borderId="26" xfId="0" applyFill="1" applyBorder="1" applyAlignment="1">
      <alignment wrapText="1"/>
    </xf>
    <xf numFmtId="0" fontId="0" fillId="12" borderId="12" xfId="0" applyFill="1" applyBorder="1"/>
    <xf numFmtId="0" fontId="0" fillId="12" borderId="15" xfId="0" applyFill="1" applyBorder="1"/>
    <xf numFmtId="44" fontId="0" fillId="0" borderId="1" xfId="0" applyNumberFormat="1" applyBorder="1"/>
    <xf numFmtId="43" fontId="0" fillId="0" borderId="1" xfId="2" applyFont="1" applyBorder="1"/>
    <xf numFmtId="0" fontId="0" fillId="0" borderId="59" xfId="0" applyBorder="1"/>
    <xf numFmtId="0" fontId="0" fillId="13" borderId="1" xfId="0" applyFill="1" applyBorder="1"/>
    <xf numFmtId="165" fontId="0" fillId="13" borderId="1" xfId="1" applyFont="1" applyFill="1" applyBorder="1"/>
    <xf numFmtId="0" fontId="9" fillId="3" borderId="3" xfId="0" applyFont="1" applyFill="1" applyBorder="1" applyProtection="1">
      <protection locked="0"/>
    </xf>
    <xf numFmtId="0" fontId="9" fillId="0" borderId="0" xfId="0" applyFont="1"/>
    <xf numFmtId="0" fontId="9" fillId="0" borderId="0" xfId="0" applyFont="1" applyFill="1" applyBorder="1"/>
    <xf numFmtId="0" fontId="16" fillId="0" borderId="16" xfId="0" applyFont="1" applyBorder="1" applyAlignment="1" applyProtection="1">
      <alignment vertical="center"/>
      <protection locked="0"/>
    </xf>
    <xf numFmtId="0" fontId="16" fillId="0" borderId="17" xfId="0" applyFont="1" applyBorder="1" applyAlignment="1" applyProtection="1">
      <alignment vertical="center"/>
      <protection locked="0"/>
    </xf>
    <xf numFmtId="0" fontId="16" fillId="0" borderId="18" xfId="0" applyFont="1" applyBorder="1" applyAlignment="1" applyProtection="1">
      <alignment vertical="center"/>
      <protection locked="0"/>
    </xf>
    <xf numFmtId="0" fontId="16" fillId="0" borderId="19" xfId="0" applyFont="1" applyBorder="1" applyAlignment="1" applyProtection="1">
      <alignment vertical="center"/>
      <protection locked="0"/>
    </xf>
    <xf numFmtId="0" fontId="16" fillId="0" borderId="0" xfId="0" applyFont="1" applyBorder="1" applyAlignment="1" applyProtection="1">
      <alignment vertical="center"/>
      <protection locked="0"/>
    </xf>
    <xf numFmtId="0" fontId="16" fillId="0" borderId="20" xfId="0" applyFont="1" applyBorder="1" applyAlignment="1" applyProtection="1">
      <alignment vertical="center"/>
      <protection locked="0"/>
    </xf>
    <xf numFmtId="0" fontId="17" fillId="0" borderId="0" xfId="0" applyFont="1" applyBorder="1" applyAlignment="1" applyProtection="1">
      <alignment horizontal="right" vertical="center"/>
      <protection locked="0"/>
    </xf>
    <xf numFmtId="0" fontId="16" fillId="3" borderId="3" xfId="0" applyFont="1" applyFill="1" applyBorder="1" applyAlignment="1" applyProtection="1">
      <alignment vertical="center"/>
      <protection locked="0"/>
    </xf>
    <xf numFmtId="165" fontId="16" fillId="3" borderId="3" xfId="1" applyFont="1" applyFill="1" applyBorder="1" applyAlignment="1" applyProtection="1">
      <alignment vertical="center"/>
      <protection locked="0"/>
    </xf>
    <xf numFmtId="0" fontId="16" fillId="0" borderId="21" xfId="0" applyFont="1" applyBorder="1" applyAlignment="1" applyProtection="1">
      <alignment vertical="center"/>
      <protection locked="0"/>
    </xf>
    <xf numFmtId="0" fontId="16" fillId="0" borderId="22" xfId="0" applyFont="1" applyBorder="1" applyAlignment="1" applyProtection="1">
      <alignment vertical="center"/>
      <protection locked="0"/>
    </xf>
    <xf numFmtId="0" fontId="16" fillId="0" borderId="23" xfId="0" applyFont="1" applyBorder="1" applyAlignment="1" applyProtection="1">
      <alignment vertical="center"/>
      <protection locked="0"/>
    </xf>
    <xf numFmtId="0" fontId="16" fillId="3" borderId="3" xfId="0" applyFont="1" applyFill="1" applyBorder="1" applyAlignment="1" applyProtection="1">
      <alignment vertical="center" wrapText="1"/>
      <protection locked="0"/>
    </xf>
    <xf numFmtId="0" fontId="16" fillId="3" borderId="3" xfId="0" applyFont="1" applyFill="1" applyBorder="1" applyAlignment="1" applyProtection="1">
      <alignment horizontal="center" vertical="center"/>
      <protection locked="0"/>
    </xf>
    <xf numFmtId="0" fontId="16" fillId="0" borderId="0" xfId="0" applyFont="1" applyAlignment="1">
      <alignment vertical="center"/>
    </xf>
    <xf numFmtId="0" fontId="16" fillId="0" borderId="0" xfId="0" applyFont="1" applyBorder="1" applyAlignment="1">
      <alignment vertical="center"/>
    </xf>
    <xf numFmtId="0" fontId="16" fillId="0" borderId="22" xfId="0" applyFont="1" applyBorder="1" applyAlignment="1">
      <alignment vertical="center"/>
    </xf>
    <xf numFmtId="0" fontId="16" fillId="0" borderId="19" xfId="0" applyFont="1" applyBorder="1" applyAlignment="1">
      <alignment vertical="center"/>
    </xf>
    <xf numFmtId="0" fontId="16" fillId="0" borderId="20" xfId="0" applyFont="1" applyBorder="1" applyAlignment="1">
      <alignment vertical="center"/>
    </xf>
    <xf numFmtId="0" fontId="16" fillId="13" borderId="0" xfId="0" applyFont="1" applyFill="1" applyAlignment="1">
      <alignment vertical="center"/>
    </xf>
    <xf numFmtId="0" fontId="16" fillId="0" borderId="21" xfId="0" applyFont="1" applyBorder="1" applyAlignment="1">
      <alignment vertical="center"/>
    </xf>
    <xf numFmtId="0" fontId="16" fillId="0" borderId="23" xfId="0" applyFont="1" applyBorder="1" applyAlignment="1">
      <alignment vertical="center"/>
    </xf>
    <xf numFmtId="0" fontId="16" fillId="0" borderId="0" xfId="0" applyFont="1" applyFill="1" applyBorder="1" applyAlignment="1">
      <alignment vertical="center"/>
    </xf>
    <xf numFmtId="0" fontId="16" fillId="0" borderId="0" xfId="0" applyFont="1" applyAlignment="1">
      <alignment vertical="center" wrapText="1"/>
    </xf>
    <xf numFmtId="0" fontId="16" fillId="0" borderId="16" xfId="0" applyFont="1" applyBorder="1" applyAlignment="1">
      <alignment vertical="center"/>
    </xf>
    <xf numFmtId="0" fontId="16" fillId="0" borderId="17" xfId="0" applyFont="1" applyBorder="1" applyAlignment="1">
      <alignment vertical="center"/>
    </xf>
    <xf numFmtId="0" fontId="16" fillId="0" borderId="18" xfId="0" applyFont="1" applyBorder="1" applyAlignment="1">
      <alignment vertical="center"/>
    </xf>
    <xf numFmtId="165" fontId="16" fillId="8" borderId="3" xfId="1" applyFont="1" applyFill="1" applyBorder="1" applyAlignment="1" applyProtection="1">
      <alignment vertical="center" wrapText="1"/>
      <protection locked="0"/>
    </xf>
    <xf numFmtId="165" fontId="16" fillId="8" borderId="3" xfId="1" applyFont="1" applyFill="1" applyBorder="1" applyAlignment="1" applyProtection="1">
      <alignment horizontal="center" vertical="center" wrapText="1"/>
      <protection locked="0"/>
    </xf>
    <xf numFmtId="43" fontId="16" fillId="8" borderId="3" xfId="2" applyFont="1" applyFill="1" applyBorder="1" applyAlignment="1" applyProtection="1">
      <alignment horizontal="center" vertical="center" wrapText="1"/>
      <protection locked="0"/>
    </xf>
    <xf numFmtId="0" fontId="16" fillId="0" borderId="3" xfId="0" applyFont="1" applyFill="1" applyBorder="1" applyAlignment="1" applyProtection="1">
      <alignment vertical="center"/>
    </xf>
    <xf numFmtId="0" fontId="0" fillId="0" borderId="40" xfId="0" applyFill="1" applyBorder="1" applyAlignment="1">
      <alignment vertical="center" wrapText="1"/>
    </xf>
    <xf numFmtId="0" fontId="0" fillId="0" borderId="1" xfId="0" applyFill="1" applyBorder="1" applyAlignment="1">
      <alignment vertical="center" wrapText="1"/>
    </xf>
    <xf numFmtId="0" fontId="0" fillId="0" borderId="0" xfId="0" applyAlignment="1">
      <alignment vertical="center"/>
    </xf>
    <xf numFmtId="0" fontId="0" fillId="7" borderId="42" xfId="0" applyFill="1" applyBorder="1" applyAlignment="1">
      <alignment horizontal="center" vertical="center" wrapText="1"/>
    </xf>
    <xf numFmtId="0" fontId="0" fillId="0" borderId="39"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xf>
    <xf numFmtId="0" fontId="16" fillId="0" borderId="22"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18" fillId="17" borderId="2" xfId="0" applyFont="1" applyFill="1" applyBorder="1" applyAlignment="1" applyProtection="1">
      <alignment vertical="center"/>
    </xf>
    <xf numFmtId="0" fontId="18" fillId="17" borderId="2" xfId="0" applyFont="1" applyFill="1" applyBorder="1" applyAlignment="1" applyProtection="1">
      <alignment vertical="center" wrapText="1"/>
    </xf>
    <xf numFmtId="0" fontId="16" fillId="10" borderId="2" xfId="0" applyFont="1" applyFill="1" applyBorder="1" applyAlignment="1" applyProtection="1">
      <alignment vertical="center" wrapText="1"/>
    </xf>
    <xf numFmtId="165" fontId="17" fillId="10" borderId="7" xfId="1" applyFont="1" applyFill="1" applyBorder="1" applyAlignment="1" applyProtection="1">
      <alignment horizontal="center" vertical="center"/>
    </xf>
    <xf numFmtId="165" fontId="16" fillId="0" borderId="3" xfId="1" applyFont="1" applyFill="1" applyBorder="1" applyAlignment="1" applyProtection="1">
      <alignment vertical="center"/>
    </xf>
    <xf numFmtId="0" fontId="16" fillId="0" borderId="0" xfId="0" applyFont="1" applyFill="1" applyBorder="1" applyAlignment="1" applyProtection="1">
      <alignment vertical="center"/>
    </xf>
    <xf numFmtId="165" fontId="17" fillId="0" borderId="3" xfId="1" applyFont="1" applyFill="1" applyBorder="1" applyAlignment="1" applyProtection="1">
      <alignment vertical="center"/>
    </xf>
    <xf numFmtId="0" fontId="16" fillId="11" borderId="2"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xf>
    <xf numFmtId="165" fontId="16" fillId="0" borderId="3" xfId="1" applyFont="1" applyFill="1" applyBorder="1" applyAlignment="1" applyProtection="1">
      <alignment horizontal="center" vertical="center"/>
    </xf>
    <xf numFmtId="0" fontId="16" fillId="0" borderId="0" xfId="0" applyFont="1" applyBorder="1" applyAlignment="1" applyProtection="1">
      <alignment horizontal="right" vertical="center" wrapText="1"/>
    </xf>
    <xf numFmtId="165" fontId="17" fillId="11" borderId="7" xfId="1" applyFont="1" applyFill="1" applyBorder="1" applyAlignment="1" applyProtection="1">
      <alignment horizontal="center" vertical="center"/>
    </xf>
    <xf numFmtId="165" fontId="16" fillId="0" borderId="0" xfId="1" applyFont="1" applyBorder="1" applyAlignment="1" applyProtection="1">
      <alignment vertical="center"/>
    </xf>
    <xf numFmtId="0" fontId="16" fillId="0" borderId="0" xfId="0" applyFont="1" applyBorder="1" applyAlignment="1" applyProtection="1">
      <alignment vertical="center"/>
    </xf>
    <xf numFmtId="165" fontId="17" fillId="0" borderId="3" xfId="1" applyFont="1" applyFill="1" applyBorder="1" applyAlignment="1" applyProtection="1">
      <alignment horizontal="center" vertical="center"/>
    </xf>
    <xf numFmtId="165" fontId="16" fillId="0" borderId="3" xfId="1" applyFont="1" applyBorder="1" applyAlignment="1" applyProtection="1">
      <alignment vertical="center"/>
    </xf>
    <xf numFmtId="0" fontId="16" fillId="0" borderId="3" xfId="0" applyFont="1" applyBorder="1" applyAlignment="1" applyProtection="1">
      <alignment vertical="center"/>
    </xf>
    <xf numFmtId="165" fontId="17" fillId="0" borderId="3" xfId="1" applyFont="1" applyBorder="1" applyAlignment="1" applyProtection="1">
      <alignment vertical="center"/>
    </xf>
    <xf numFmtId="0" fontId="16" fillId="0" borderId="22" xfId="0" applyFont="1" applyFill="1" applyBorder="1" applyAlignment="1" applyProtection="1">
      <alignment vertical="center"/>
    </xf>
    <xf numFmtId="0" fontId="16" fillId="0" borderId="22" xfId="0" applyFont="1" applyBorder="1" applyAlignment="1" applyProtection="1">
      <alignment vertical="center"/>
    </xf>
    <xf numFmtId="0" fontId="17" fillId="12" borderId="0" xfId="0" applyFont="1" applyFill="1" applyBorder="1" applyAlignment="1" applyProtection="1">
      <alignment vertical="center"/>
    </xf>
    <xf numFmtId="0" fontId="16" fillId="0" borderId="16" xfId="0" applyFont="1" applyBorder="1" applyAlignment="1" applyProtection="1">
      <alignment vertical="center"/>
    </xf>
    <xf numFmtId="0" fontId="16" fillId="0" borderId="17" xfId="0" applyFont="1" applyBorder="1" applyAlignment="1" applyProtection="1">
      <alignment vertical="center"/>
    </xf>
    <xf numFmtId="0" fontId="16" fillId="0" borderId="17" xfId="0" applyFont="1" applyBorder="1" applyAlignment="1" applyProtection="1">
      <alignment horizontal="right" vertical="center" wrapText="1"/>
    </xf>
    <xf numFmtId="0" fontId="16" fillId="0" borderId="18" xfId="0" applyFont="1" applyBorder="1" applyAlignment="1" applyProtection="1">
      <alignment vertical="center"/>
    </xf>
    <xf numFmtId="0" fontId="16" fillId="0" borderId="19" xfId="0" applyFont="1" applyBorder="1" applyAlignment="1" applyProtection="1">
      <alignment vertical="center"/>
    </xf>
    <xf numFmtId="0" fontId="16" fillId="0" borderId="20" xfId="0" applyFont="1" applyBorder="1" applyAlignment="1" applyProtection="1">
      <alignment vertical="center"/>
    </xf>
    <xf numFmtId="0" fontId="16" fillId="0" borderId="20" xfId="0" applyFont="1" applyFill="1" applyBorder="1" applyAlignment="1" applyProtection="1">
      <alignment vertical="center"/>
    </xf>
    <xf numFmtId="0" fontId="16" fillId="0" borderId="21" xfId="0" applyFont="1" applyBorder="1" applyAlignment="1" applyProtection="1">
      <alignment vertical="center"/>
    </xf>
    <xf numFmtId="165" fontId="16" fillId="0" borderId="22" xfId="1" applyFont="1" applyFill="1" applyBorder="1" applyAlignment="1" applyProtection="1">
      <alignment vertical="center"/>
    </xf>
    <xf numFmtId="0" fontId="16" fillId="0" borderId="23" xfId="0" applyFont="1" applyFill="1" applyBorder="1" applyAlignment="1" applyProtection="1">
      <alignment vertical="center"/>
    </xf>
    <xf numFmtId="0" fontId="17" fillId="0" borderId="0" xfId="0" applyFont="1" applyBorder="1" applyAlignment="1" applyProtection="1">
      <alignment horizontal="right" vertical="center"/>
    </xf>
    <xf numFmtId="0" fontId="16" fillId="0" borderId="32" xfId="0" applyFont="1" applyFill="1" applyBorder="1" applyAlignment="1" applyProtection="1">
      <alignment horizontal="center" vertical="center"/>
    </xf>
    <xf numFmtId="165" fontId="16" fillId="0" borderId="0" xfId="1" applyFont="1" applyFill="1" applyBorder="1" applyAlignment="1" applyProtection="1">
      <alignment horizontal="center" vertical="center"/>
    </xf>
    <xf numFmtId="0" fontId="16" fillId="0" borderId="0" xfId="0" applyFont="1" applyAlignment="1" applyProtection="1">
      <alignment vertical="center"/>
    </xf>
    <xf numFmtId="0" fontId="17" fillId="0" borderId="0" xfId="0" applyFont="1" applyBorder="1" applyAlignment="1" applyProtection="1">
      <alignment vertical="center"/>
    </xf>
    <xf numFmtId="0" fontId="17" fillId="0" borderId="0" xfId="0" applyFont="1" applyFill="1" applyBorder="1" applyAlignment="1" applyProtection="1">
      <alignment vertical="center"/>
    </xf>
    <xf numFmtId="0" fontId="16" fillId="0" borderId="17" xfId="0" applyFont="1" applyFill="1" applyBorder="1" applyAlignment="1" applyProtection="1">
      <alignment vertical="center"/>
    </xf>
    <xf numFmtId="0" fontId="20" fillId="0" borderId="0" xfId="0" applyFont="1" applyFill="1" applyBorder="1" applyAlignment="1" applyProtection="1">
      <alignment vertical="center"/>
    </xf>
    <xf numFmtId="0" fontId="17" fillId="2" borderId="2" xfId="0" applyFont="1" applyFill="1" applyBorder="1" applyAlignment="1" applyProtection="1">
      <alignment vertical="center" wrapText="1"/>
    </xf>
    <xf numFmtId="0" fontId="21" fillId="0" borderId="0" xfId="0" applyFont="1" applyFill="1" applyBorder="1" applyAlignment="1" applyProtection="1">
      <alignment vertical="center" wrapText="1"/>
    </xf>
    <xf numFmtId="165" fontId="16" fillId="0" borderId="3" xfId="1" applyFont="1" applyBorder="1" applyAlignment="1" applyProtection="1">
      <alignment horizontal="center" vertical="center"/>
    </xf>
    <xf numFmtId="0" fontId="21" fillId="0" borderId="0" xfId="0" applyFont="1" applyBorder="1" applyAlignment="1" applyProtection="1">
      <alignment horizontal="left" vertical="center" wrapText="1"/>
    </xf>
    <xf numFmtId="0" fontId="9" fillId="0" borderId="3" xfId="0" applyFont="1" applyBorder="1" applyAlignment="1" applyProtection="1">
      <alignment vertical="center" wrapText="1"/>
    </xf>
    <xf numFmtId="0" fontId="17" fillId="2" borderId="3" xfId="0" applyFont="1" applyFill="1" applyBorder="1" applyAlignment="1" applyProtection="1">
      <alignment horizontal="center" vertical="center" wrapText="1"/>
    </xf>
    <xf numFmtId="0" fontId="16" fillId="0" borderId="0" xfId="0" applyFont="1" applyBorder="1" applyAlignment="1" applyProtection="1">
      <alignment vertical="center" wrapText="1"/>
    </xf>
    <xf numFmtId="0" fontId="20" fillId="0" borderId="0" xfId="0" applyFont="1" applyFill="1" applyBorder="1" applyAlignment="1" applyProtection="1">
      <alignment horizontal="center" vertical="center" wrapText="1"/>
    </xf>
    <xf numFmtId="165" fontId="16" fillId="0" borderId="0" xfId="1" applyFont="1" applyBorder="1" applyAlignment="1" applyProtection="1">
      <alignment horizontal="center" vertical="center"/>
    </xf>
    <xf numFmtId="0" fontId="16" fillId="0" borderId="0" xfId="0" applyFont="1" applyBorder="1" applyAlignment="1" applyProtection="1">
      <alignment horizontal="center" vertical="center" wrapText="1"/>
    </xf>
    <xf numFmtId="0" fontId="16" fillId="0" borderId="22" xfId="0" applyFont="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165" fontId="17" fillId="0" borderId="3" xfId="1" applyFont="1" applyBorder="1" applyAlignment="1" applyProtection="1">
      <alignment horizontal="center" vertical="center"/>
    </xf>
    <xf numFmtId="0" fontId="17" fillId="4" borderId="2" xfId="0" applyFont="1" applyFill="1" applyBorder="1" applyAlignment="1" applyProtection="1">
      <alignment vertical="center" wrapText="1"/>
    </xf>
    <xf numFmtId="0" fontId="22" fillId="0" borderId="3"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xf>
    <xf numFmtId="0" fontId="21" fillId="0" borderId="0" xfId="0" applyFont="1" applyFill="1" applyBorder="1" applyAlignment="1" applyProtection="1">
      <alignment vertical="center"/>
    </xf>
    <xf numFmtId="0" fontId="21" fillId="0" borderId="3" xfId="0" applyFont="1" applyFill="1" applyBorder="1" applyAlignment="1" applyProtection="1">
      <alignment horizontal="center" vertical="center"/>
    </xf>
    <xf numFmtId="0" fontId="17" fillId="0" borderId="0" xfId="0" applyFont="1" applyFill="1" applyBorder="1" applyAlignment="1" applyProtection="1">
      <alignment vertical="center" wrapText="1"/>
    </xf>
    <xf numFmtId="0" fontId="17" fillId="4" borderId="7"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7" fillId="10" borderId="2" xfId="0" applyFont="1" applyFill="1" applyBorder="1" applyAlignment="1" applyProtection="1">
      <alignment horizontal="center" vertical="center" wrapText="1"/>
    </xf>
    <xf numFmtId="0" fontId="17" fillId="10" borderId="7" xfId="0" applyFont="1" applyFill="1" applyBorder="1" applyAlignment="1" applyProtection="1">
      <alignment horizontal="center" vertical="center" wrapText="1"/>
    </xf>
    <xf numFmtId="44" fontId="17" fillId="0" borderId="3" xfId="0" applyNumberFormat="1" applyFont="1" applyBorder="1" applyAlignment="1" applyProtection="1">
      <alignment vertical="center"/>
    </xf>
    <xf numFmtId="0" fontId="17" fillId="0" borderId="22" xfId="0" applyFont="1" applyFill="1" applyBorder="1" applyAlignment="1" applyProtection="1">
      <alignment horizontal="center" vertical="center"/>
    </xf>
    <xf numFmtId="0" fontId="16" fillId="0" borderId="0" xfId="0" applyFont="1" applyFill="1" applyBorder="1" applyAlignment="1" applyProtection="1">
      <alignment horizontal="right" vertical="center" wrapText="1"/>
    </xf>
    <xf numFmtId="0" fontId="17" fillId="10" borderId="2" xfId="0" applyFont="1" applyFill="1" applyBorder="1" applyAlignment="1" applyProtection="1">
      <alignment vertical="center" wrapText="1"/>
    </xf>
    <xf numFmtId="43" fontId="16" fillId="0" borderId="3" xfId="2" applyFont="1" applyBorder="1" applyAlignment="1" applyProtection="1">
      <alignment horizontal="center" vertical="center"/>
    </xf>
    <xf numFmtId="0" fontId="16" fillId="0" borderId="0" xfId="0" applyFont="1" applyBorder="1" applyAlignment="1" applyProtection="1">
      <alignment horizontal="right" vertical="center"/>
    </xf>
    <xf numFmtId="165" fontId="17" fillId="0" borderId="3" xfId="1" applyFont="1" applyBorder="1" applyAlignment="1" applyProtection="1">
      <alignment horizontal="center" vertical="center" wrapText="1"/>
    </xf>
    <xf numFmtId="0" fontId="9" fillId="0" borderId="0" xfId="0" applyFont="1" applyProtection="1"/>
    <xf numFmtId="0" fontId="9" fillId="0" borderId="16" xfId="0" applyFont="1" applyBorder="1" applyProtection="1"/>
    <xf numFmtId="0" fontId="9" fillId="0" borderId="17" xfId="0" applyFont="1" applyBorder="1" applyProtection="1"/>
    <xf numFmtId="0" fontId="9" fillId="0" borderId="18" xfId="0" applyFont="1" applyBorder="1" applyProtection="1"/>
    <xf numFmtId="0" fontId="9" fillId="0" borderId="19" xfId="0" applyFont="1" applyBorder="1" applyProtection="1"/>
    <xf numFmtId="0" fontId="9" fillId="0" borderId="20" xfId="0" applyFont="1" applyBorder="1" applyProtection="1"/>
    <xf numFmtId="0" fontId="9" fillId="0" borderId="0" xfId="0" applyFont="1" applyBorder="1" applyProtection="1"/>
    <xf numFmtId="0" fontId="11" fillId="0" borderId="19" xfId="0" applyFont="1" applyBorder="1" applyProtection="1"/>
    <xf numFmtId="0" fontId="12" fillId="17" borderId="2" xfId="0" applyFont="1" applyFill="1" applyBorder="1" applyAlignment="1" applyProtection="1">
      <alignment wrapText="1"/>
    </xf>
    <xf numFmtId="0" fontId="14" fillId="0" borderId="0" xfId="0" applyFont="1" applyFill="1" applyBorder="1" applyAlignment="1" applyProtection="1">
      <alignment wrapText="1"/>
    </xf>
    <xf numFmtId="0" fontId="9" fillId="0" borderId="0" xfId="0" applyFont="1" applyFill="1" applyBorder="1" applyProtection="1"/>
    <xf numFmtId="0" fontId="14" fillId="10" borderId="2" xfId="0" applyFont="1" applyFill="1" applyBorder="1" applyAlignment="1" applyProtection="1">
      <alignment wrapText="1"/>
    </xf>
    <xf numFmtId="43" fontId="9" fillId="0" borderId="3" xfId="2" applyFont="1" applyBorder="1" applyAlignment="1" applyProtection="1">
      <alignment horizontal="center" vertical="center"/>
    </xf>
    <xf numFmtId="0" fontId="9" fillId="0" borderId="0" xfId="0" applyFont="1" applyFill="1" applyBorder="1" applyAlignment="1" applyProtection="1"/>
    <xf numFmtId="0" fontId="9" fillId="10" borderId="0" xfId="0" applyFont="1" applyFill="1" applyBorder="1" applyProtection="1"/>
    <xf numFmtId="165" fontId="15" fillId="0" borderId="3" xfId="1" applyFont="1" applyBorder="1" applyAlignment="1" applyProtection="1">
      <alignment horizontal="center" vertical="center"/>
    </xf>
    <xf numFmtId="0" fontId="9" fillId="0" borderId="22" xfId="0" applyFont="1" applyFill="1" applyBorder="1" applyProtection="1"/>
    <xf numFmtId="0" fontId="14" fillId="4" borderId="2" xfId="0" applyFont="1" applyFill="1" applyBorder="1" applyAlignment="1" applyProtection="1">
      <alignment wrapText="1"/>
    </xf>
    <xf numFmtId="43" fontId="9" fillId="0" borderId="4" xfId="2" applyFont="1" applyBorder="1" applyAlignment="1" applyProtection="1">
      <alignment horizontal="center" vertical="center"/>
    </xf>
    <xf numFmtId="165" fontId="15" fillId="0" borderId="4" xfId="1" applyFont="1" applyBorder="1" applyAlignment="1" applyProtection="1">
      <alignment horizontal="center" vertical="center"/>
    </xf>
    <xf numFmtId="165" fontId="9" fillId="0" borderId="0" xfId="1" applyFont="1" applyFill="1" applyBorder="1" applyAlignment="1" applyProtection="1">
      <alignment horizontal="center" vertical="center"/>
    </xf>
    <xf numFmtId="0" fontId="13" fillId="0" borderId="0" xfId="0" applyFont="1" applyFill="1" applyBorder="1" applyAlignment="1" applyProtection="1">
      <alignment horizontal="center" wrapText="1"/>
    </xf>
    <xf numFmtId="0" fontId="13" fillId="0" borderId="0" xfId="0" applyFont="1" applyFill="1" applyBorder="1" applyAlignment="1" applyProtection="1">
      <alignment horizontal="right" wrapText="1"/>
    </xf>
    <xf numFmtId="0" fontId="14" fillId="7" borderId="2" xfId="0" applyFont="1" applyFill="1" applyBorder="1" applyAlignment="1" applyProtection="1">
      <alignment wrapText="1"/>
    </xf>
    <xf numFmtId="0" fontId="9" fillId="0" borderId="23" xfId="0" applyFont="1" applyBorder="1" applyProtection="1"/>
    <xf numFmtId="0" fontId="9" fillId="0" borderId="21" xfId="0" applyFont="1" applyBorder="1" applyProtection="1"/>
    <xf numFmtId="0" fontId="16" fillId="0" borderId="16" xfId="0" applyFont="1" applyBorder="1" applyAlignment="1" applyProtection="1">
      <alignment vertical="center" wrapText="1"/>
    </xf>
    <xf numFmtId="0" fontId="16" fillId="0" borderId="17" xfId="0" applyFont="1" applyBorder="1" applyAlignment="1" applyProtection="1">
      <alignment vertical="center" wrapText="1"/>
    </xf>
    <xf numFmtId="0" fontId="16" fillId="0" borderId="18" xfId="0" applyFont="1" applyBorder="1" applyAlignment="1" applyProtection="1">
      <alignment vertical="center" wrapText="1"/>
    </xf>
    <xf numFmtId="0" fontId="16" fillId="0" borderId="19" xfId="0" applyFont="1" applyBorder="1" applyAlignment="1" applyProtection="1">
      <alignment vertical="center" wrapText="1"/>
    </xf>
    <xf numFmtId="0" fontId="16" fillId="0" borderId="20" xfId="0" applyFont="1" applyBorder="1" applyAlignment="1" applyProtection="1">
      <alignment vertical="center" wrapText="1"/>
    </xf>
    <xf numFmtId="165" fontId="16" fillId="0" borderId="3" xfId="1" applyFont="1" applyBorder="1" applyAlignment="1" applyProtection="1">
      <alignment horizontal="center" vertical="center" wrapText="1"/>
    </xf>
    <xf numFmtId="0" fontId="17" fillId="0" borderId="19" xfId="0" applyFont="1" applyBorder="1" applyAlignment="1" applyProtection="1">
      <alignment vertical="center" wrapText="1"/>
    </xf>
    <xf numFmtId="43" fontId="16" fillId="0" borderId="3" xfId="2" applyFont="1" applyBorder="1" applyAlignment="1" applyProtection="1">
      <alignment horizontal="center" vertical="center" wrapText="1"/>
    </xf>
    <xf numFmtId="0" fontId="17" fillId="7" borderId="2" xfId="0" applyFont="1" applyFill="1" applyBorder="1" applyAlignment="1" applyProtection="1">
      <alignment vertical="center" wrapText="1"/>
    </xf>
    <xf numFmtId="165" fontId="17" fillId="0" borderId="0" xfId="1" applyFont="1" applyBorder="1" applyAlignment="1" applyProtection="1">
      <alignment horizontal="center" vertical="center" wrapText="1"/>
    </xf>
    <xf numFmtId="0" fontId="16" fillId="0" borderId="21" xfId="0" applyFont="1" applyBorder="1" applyAlignment="1" applyProtection="1">
      <alignment vertical="center" wrapText="1"/>
    </xf>
    <xf numFmtId="0" fontId="16" fillId="0" borderId="22" xfId="0" applyFont="1" applyBorder="1" applyAlignment="1" applyProtection="1">
      <alignment vertical="center" wrapText="1"/>
    </xf>
    <xf numFmtId="0" fontId="16" fillId="0" borderId="23" xfId="0" applyFont="1" applyBorder="1" applyAlignment="1" applyProtection="1">
      <alignment vertical="center" wrapText="1"/>
    </xf>
    <xf numFmtId="0" fontId="16" fillId="0" borderId="0" xfId="0" applyFont="1" applyAlignment="1" applyProtection="1">
      <alignment vertical="center" wrapText="1"/>
    </xf>
    <xf numFmtId="0" fontId="0" fillId="0" borderId="0" xfId="0" applyFont="1" applyAlignment="1"/>
    <xf numFmtId="0" fontId="17" fillId="7" borderId="2" xfId="0" applyFont="1" applyFill="1" applyBorder="1" applyAlignment="1" applyProtection="1">
      <alignment horizontal="center" vertical="center" wrapText="1"/>
    </xf>
    <xf numFmtId="0" fontId="16" fillId="0" borderId="17"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17" fillId="0" borderId="0" xfId="0" applyFont="1" applyFill="1" applyBorder="1" applyAlignment="1" applyProtection="1">
      <alignment horizontal="center" vertical="center" wrapText="1"/>
    </xf>
    <xf numFmtId="164" fontId="23" fillId="0" borderId="0" xfId="5" applyFont="1" applyBorder="1" applyAlignment="1">
      <alignment horizontal="left"/>
    </xf>
    <xf numFmtId="164" fontId="24" fillId="0" borderId="0" xfId="5" applyFont="1" applyBorder="1" applyAlignment="1">
      <alignment horizontal="left"/>
    </xf>
    <xf numFmtId="0" fontId="24" fillId="0" borderId="0" xfId="0" applyFont="1"/>
    <xf numFmtId="0" fontId="24" fillId="0" borderId="0" xfId="0" applyFont="1" applyBorder="1"/>
    <xf numFmtId="0" fontId="25" fillId="0" borderId="0" xfId="0" applyFont="1" applyAlignment="1">
      <alignment vertical="center"/>
    </xf>
    <xf numFmtId="0" fontId="23" fillId="0" borderId="0" xfId="0" applyFont="1" applyAlignment="1"/>
    <xf numFmtId="0" fontId="24" fillId="0" borderId="0" xfId="0" applyFont="1" applyAlignment="1"/>
    <xf numFmtId="0" fontId="17" fillId="0" borderId="0" xfId="0" applyFont="1" applyFill="1" applyBorder="1" applyAlignment="1" applyProtection="1">
      <alignment horizontal="right" vertical="center"/>
    </xf>
    <xf numFmtId="0" fontId="16" fillId="0" borderId="23" xfId="0" applyFont="1" applyBorder="1" applyAlignment="1" applyProtection="1">
      <alignment vertical="center"/>
    </xf>
    <xf numFmtId="165" fontId="16" fillId="0" borderId="0" xfId="1" applyFont="1" applyFill="1" applyBorder="1" applyAlignment="1" applyProtection="1">
      <alignment vertical="center"/>
    </xf>
    <xf numFmtId="0" fontId="24" fillId="0" borderId="0" xfId="0" applyFont="1" applyProtection="1"/>
    <xf numFmtId="165" fontId="17" fillId="0" borderId="0" xfId="1" applyFont="1" applyFill="1" applyBorder="1" applyAlignment="1" applyProtection="1">
      <alignment horizontal="center" vertical="center"/>
    </xf>
    <xf numFmtId="165" fontId="17" fillId="0" borderId="0" xfId="0" applyNumberFormat="1"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17" fillId="11" borderId="2" xfId="0" applyFont="1" applyFill="1" applyBorder="1" applyAlignment="1" applyProtection="1">
      <alignment horizontal="center" vertical="center"/>
    </xf>
    <xf numFmtId="0" fontId="17" fillId="10" borderId="60" xfId="0" applyFont="1" applyFill="1" applyBorder="1" applyAlignment="1" applyProtection="1">
      <alignment horizontal="center" vertical="center"/>
    </xf>
    <xf numFmtId="0" fontId="17" fillId="0" borderId="4" xfId="0" applyFont="1" applyFill="1" applyBorder="1" applyAlignment="1" applyProtection="1">
      <alignment horizontal="center" vertical="center"/>
    </xf>
    <xf numFmtId="0" fontId="17" fillId="0" borderId="5" xfId="0" applyFont="1" applyFill="1" applyBorder="1" applyAlignment="1" applyProtection="1">
      <alignment horizontal="center" vertical="center"/>
    </xf>
    <xf numFmtId="0" fontId="17" fillId="0" borderId="6" xfId="0" applyFont="1" applyFill="1" applyBorder="1" applyAlignment="1" applyProtection="1">
      <alignment horizontal="center" vertical="center"/>
    </xf>
    <xf numFmtId="0" fontId="16" fillId="0" borderId="1" xfId="0" applyFont="1" applyBorder="1" applyAlignment="1" applyProtection="1">
      <alignment horizontal="center" vertical="center" wrapText="1"/>
    </xf>
    <xf numFmtId="0" fontId="17" fillId="10" borderId="2" xfId="0" applyFont="1" applyFill="1" applyBorder="1" applyAlignment="1" applyProtection="1">
      <alignment horizontal="center" vertical="center"/>
    </xf>
    <xf numFmtId="0" fontId="16" fillId="0" borderId="17"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16" fillId="0" borderId="24" xfId="0" applyFont="1" applyFill="1" applyBorder="1" applyAlignment="1" applyProtection="1">
      <alignment horizontal="center" vertical="center" wrapText="1"/>
    </xf>
    <xf numFmtId="0" fontId="16" fillId="0" borderId="25" xfId="0" applyFont="1" applyFill="1" applyBorder="1" applyAlignment="1" applyProtection="1">
      <alignment horizontal="center" vertical="center" wrapText="1"/>
    </xf>
    <xf numFmtId="0" fontId="16" fillId="0" borderId="26" xfId="0" applyFont="1" applyFill="1" applyBorder="1" applyAlignment="1" applyProtection="1">
      <alignment horizontal="center" vertical="center" wrapText="1"/>
    </xf>
    <xf numFmtId="0" fontId="17" fillId="3" borderId="4" xfId="0" applyFont="1" applyFill="1" applyBorder="1" applyAlignment="1" applyProtection="1">
      <alignment horizontal="center" vertical="center"/>
      <protection locked="0"/>
    </xf>
    <xf numFmtId="0" fontId="17" fillId="3" borderId="6" xfId="0" applyFont="1" applyFill="1" applyBorder="1" applyAlignment="1" applyProtection="1">
      <alignment horizontal="center" vertical="center"/>
      <protection locked="0"/>
    </xf>
    <xf numFmtId="0" fontId="16" fillId="0" borderId="17" xfId="0" applyFont="1" applyFill="1" applyBorder="1" applyAlignment="1" applyProtection="1">
      <alignment horizontal="left" vertical="center" wrapText="1"/>
    </xf>
    <xf numFmtId="0" fontId="2" fillId="7" borderId="8" xfId="0" applyFont="1" applyFill="1" applyBorder="1" applyAlignment="1">
      <alignment horizontal="center"/>
    </xf>
    <xf numFmtId="0" fontId="2" fillId="7" borderId="9" xfId="0" applyFont="1" applyFill="1" applyBorder="1" applyAlignment="1">
      <alignment horizontal="center"/>
    </xf>
    <xf numFmtId="0" fontId="2" fillId="7" borderId="10" xfId="0" applyFont="1" applyFill="1" applyBorder="1" applyAlignment="1">
      <alignment horizontal="center"/>
    </xf>
    <xf numFmtId="0" fontId="2" fillId="7" borderId="16" xfId="0" applyFont="1" applyFill="1" applyBorder="1" applyAlignment="1">
      <alignment horizontal="center" vertical="center" wrapText="1"/>
    </xf>
    <xf numFmtId="0" fontId="2" fillId="7" borderId="17" xfId="0" applyFont="1" applyFill="1" applyBorder="1" applyAlignment="1">
      <alignment horizontal="center" vertical="center" wrapText="1"/>
    </xf>
    <xf numFmtId="0" fontId="2" fillId="7" borderId="18" xfId="0" applyFont="1" applyFill="1" applyBorder="1" applyAlignment="1">
      <alignment horizontal="center" vertical="center" wrapText="1"/>
    </xf>
    <xf numFmtId="0" fontId="0" fillId="6" borderId="36" xfId="0" applyFill="1" applyBorder="1" applyAlignment="1">
      <alignment horizontal="center" vertical="center"/>
    </xf>
    <xf numFmtId="0" fontId="0" fillId="6" borderId="37" xfId="0" applyFill="1" applyBorder="1" applyAlignment="1">
      <alignment horizontal="center" vertical="center"/>
    </xf>
    <xf numFmtId="0" fontId="2" fillId="7" borderId="4" xfId="0" applyFont="1" applyFill="1" applyBorder="1" applyAlignment="1">
      <alignment horizontal="center"/>
    </xf>
    <xf numFmtId="0" fontId="2" fillId="7" borderId="5" xfId="0" applyFont="1" applyFill="1" applyBorder="1" applyAlignment="1">
      <alignment horizontal="center"/>
    </xf>
    <xf numFmtId="0" fontId="2" fillId="7" borderId="6" xfId="0" applyFont="1" applyFill="1" applyBorder="1" applyAlignment="1">
      <alignment horizontal="center"/>
    </xf>
    <xf numFmtId="0" fontId="16" fillId="0" borderId="0" xfId="0" applyFont="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5" borderId="60" xfId="0" applyFont="1" applyFill="1" applyBorder="1" applyAlignment="1" applyProtection="1">
      <alignment horizontal="center" vertical="center"/>
    </xf>
    <xf numFmtId="0" fontId="16" fillId="0" borderId="24" xfId="0" applyFont="1" applyBorder="1" applyAlignment="1" applyProtection="1">
      <alignment horizontal="center" vertical="center" wrapText="1"/>
    </xf>
    <xf numFmtId="0" fontId="16" fillId="0" borderId="25" xfId="0" applyFont="1" applyBorder="1" applyAlignment="1" applyProtection="1">
      <alignment horizontal="center" vertical="center" wrapText="1"/>
    </xf>
    <xf numFmtId="0" fontId="16" fillId="0" borderId="26" xfId="0" applyFont="1" applyBorder="1" applyAlignment="1" applyProtection="1">
      <alignment horizontal="center" vertical="center" wrapText="1"/>
    </xf>
    <xf numFmtId="0" fontId="17" fillId="2" borderId="60" xfId="0" applyFont="1" applyFill="1" applyBorder="1" applyAlignment="1" applyProtection="1">
      <alignment horizontal="center" vertical="center"/>
    </xf>
    <xf numFmtId="0" fontId="19" fillId="0" borderId="0" xfId="0" applyFont="1" applyFill="1" applyBorder="1" applyAlignment="1" applyProtection="1">
      <alignment horizontal="center" vertical="center" wrapText="1"/>
    </xf>
    <xf numFmtId="0" fontId="0" fillId="7" borderId="1" xfId="0" applyFill="1" applyBorder="1" applyAlignment="1">
      <alignment horizontal="center"/>
    </xf>
    <xf numFmtId="0" fontId="0" fillId="0" borderId="0" xfId="0" applyFill="1" applyBorder="1" applyAlignment="1">
      <alignment horizontal="center"/>
    </xf>
    <xf numFmtId="0" fontId="8" fillId="6" borderId="4" xfId="0" applyFont="1" applyFill="1" applyBorder="1" applyAlignment="1">
      <alignment horizontal="center" vertical="center"/>
    </xf>
    <xf numFmtId="0" fontId="8" fillId="6" borderId="5" xfId="0" applyFont="1" applyFill="1" applyBorder="1" applyAlignment="1">
      <alignment horizontal="center" vertical="center"/>
    </xf>
    <xf numFmtId="0" fontId="8" fillId="6" borderId="18" xfId="0" applyFont="1" applyFill="1" applyBorder="1" applyAlignment="1">
      <alignment horizontal="center" vertical="center"/>
    </xf>
    <xf numFmtId="0" fontId="10" fillId="0" borderId="4" xfId="0" applyFont="1" applyFill="1" applyBorder="1" applyAlignment="1" applyProtection="1">
      <alignment horizontal="center"/>
    </xf>
    <xf numFmtId="0" fontId="10" fillId="0" borderId="5" xfId="0" applyFont="1" applyFill="1" applyBorder="1" applyAlignment="1" applyProtection="1">
      <alignment horizontal="center"/>
    </xf>
    <xf numFmtId="0" fontId="10" fillId="0" borderId="6" xfId="0" applyFont="1" applyFill="1" applyBorder="1" applyAlignment="1" applyProtection="1">
      <alignment horizontal="center"/>
    </xf>
    <xf numFmtId="0" fontId="9" fillId="0" borderId="24" xfId="0" applyFont="1" applyBorder="1" applyAlignment="1" applyProtection="1">
      <alignment horizontal="center" vertical="center" wrapText="1"/>
    </xf>
    <xf numFmtId="0" fontId="9" fillId="0" borderId="25" xfId="0" applyFont="1" applyBorder="1" applyAlignment="1" applyProtection="1">
      <alignment horizontal="center" vertical="center" wrapText="1"/>
    </xf>
    <xf numFmtId="0" fontId="9" fillId="0" borderId="0" xfId="0" applyFont="1" applyBorder="1" applyAlignment="1" applyProtection="1">
      <alignment horizontal="center" wrapText="1"/>
    </xf>
    <xf numFmtId="0" fontId="15" fillId="7" borderId="32" xfId="0" applyFont="1" applyFill="1" applyBorder="1" applyAlignment="1" applyProtection="1">
      <alignment horizontal="center" wrapText="1"/>
    </xf>
    <xf numFmtId="0" fontId="15" fillId="10" borderId="60" xfId="0" applyFont="1" applyFill="1" applyBorder="1" applyAlignment="1" applyProtection="1">
      <alignment horizontal="center"/>
    </xf>
    <xf numFmtId="0" fontId="15" fillId="4" borderId="2" xfId="0" applyFont="1" applyFill="1" applyBorder="1" applyAlignment="1" applyProtection="1">
      <alignment horizontal="center" wrapText="1"/>
    </xf>
    <xf numFmtId="0" fontId="15" fillId="7" borderId="60" xfId="0" applyFont="1" applyFill="1" applyBorder="1" applyAlignment="1" applyProtection="1">
      <alignment horizontal="center" wrapText="1"/>
    </xf>
    <xf numFmtId="0" fontId="15" fillId="10" borderId="32" xfId="0" applyFont="1" applyFill="1" applyBorder="1" applyAlignment="1" applyProtection="1">
      <alignment horizontal="center"/>
    </xf>
    <xf numFmtId="0" fontId="15" fillId="4" borderId="32" xfId="0" applyFont="1" applyFill="1" applyBorder="1" applyAlignment="1" applyProtection="1">
      <alignment horizontal="center" wrapText="1"/>
    </xf>
    <xf numFmtId="0" fontId="4" fillId="0" borderId="28" xfId="0" applyFont="1" applyBorder="1" applyAlignment="1">
      <alignment horizontal="center" vertical="center"/>
    </xf>
    <xf numFmtId="0" fontId="4" fillId="0" borderId="31" xfId="0" applyFont="1" applyBorder="1"/>
    <xf numFmtId="0" fontId="4" fillId="0" borderId="29" xfId="0" applyFont="1" applyBorder="1" applyAlignment="1">
      <alignment horizontal="center"/>
    </xf>
    <xf numFmtId="0" fontId="4" fillId="0" borderId="30" xfId="0" applyFont="1" applyBorder="1"/>
    <xf numFmtId="0" fontId="4" fillId="9" borderId="0" xfId="0" applyFont="1" applyFill="1" applyAlignment="1">
      <alignment horizontal="center"/>
    </xf>
    <xf numFmtId="0" fontId="0" fillId="9" borderId="0" xfId="0" applyFont="1" applyFill="1" applyAlignment="1"/>
    <xf numFmtId="0" fontId="4" fillId="9" borderId="28" xfId="0" applyFont="1" applyFill="1" applyBorder="1" applyAlignment="1">
      <alignment horizontal="center" vertical="center"/>
    </xf>
    <xf numFmtId="0" fontId="4" fillId="9" borderId="31" xfId="0" applyFont="1" applyFill="1" applyBorder="1"/>
    <xf numFmtId="0" fontId="4" fillId="9" borderId="29" xfId="0" applyFont="1" applyFill="1" applyBorder="1" applyAlignment="1">
      <alignment horizontal="center"/>
    </xf>
    <xf numFmtId="0" fontId="4" fillId="9" borderId="30" xfId="0" applyFont="1" applyFill="1" applyBorder="1"/>
    <xf numFmtId="0" fontId="4" fillId="0" borderId="0" xfId="0" applyFont="1" applyAlignment="1">
      <alignment horizontal="center"/>
    </xf>
    <xf numFmtId="0" fontId="0" fillId="0" borderId="0" xfId="0" applyFont="1" applyAlignment="1"/>
    <xf numFmtId="0" fontId="17" fillId="0" borderId="4"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wrapText="1"/>
    </xf>
    <xf numFmtId="0" fontId="17" fillId="0" borderId="6"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xf>
    <xf numFmtId="0" fontId="17" fillId="7" borderId="0" xfId="0" applyFont="1" applyFill="1" applyBorder="1" applyAlignment="1" applyProtection="1">
      <alignment horizontal="center" vertical="center" wrapText="1"/>
    </xf>
    <xf numFmtId="0" fontId="17" fillId="7" borderId="2" xfId="0" applyFont="1" applyFill="1" applyBorder="1" applyAlignment="1" applyProtection="1">
      <alignment horizontal="center" vertical="center" wrapText="1"/>
    </xf>
    <xf numFmtId="0" fontId="17" fillId="5" borderId="49" xfId="0" applyFont="1" applyFill="1" applyBorder="1" applyAlignment="1" applyProtection="1">
      <alignment horizontal="center" vertical="center" wrapText="1"/>
    </xf>
    <xf numFmtId="0" fontId="17" fillId="5" borderId="50" xfId="0" applyFont="1" applyFill="1" applyBorder="1" applyAlignment="1" applyProtection="1">
      <alignment horizontal="center" vertical="center" wrapText="1"/>
    </xf>
    <xf numFmtId="165" fontId="17" fillId="0" borderId="49" xfId="1" applyFont="1" applyFill="1" applyBorder="1" applyAlignment="1" applyProtection="1">
      <alignment horizontal="center" vertical="center" wrapText="1"/>
    </xf>
    <xf numFmtId="165" fontId="17" fillId="0" borderId="50" xfId="1" applyFont="1" applyFill="1" applyBorder="1" applyAlignment="1" applyProtection="1">
      <alignment horizontal="center" vertical="center" wrapText="1"/>
    </xf>
    <xf numFmtId="10" fontId="16" fillId="0" borderId="4" xfId="3" applyNumberFormat="1" applyFont="1" applyFill="1" applyBorder="1" applyAlignment="1" applyProtection="1">
      <alignment horizontal="center" vertical="center" wrapText="1"/>
    </xf>
    <xf numFmtId="10" fontId="16" fillId="0" borderId="6" xfId="3" applyNumberFormat="1" applyFont="1" applyFill="1" applyBorder="1" applyAlignment="1" applyProtection="1">
      <alignment horizontal="center" vertical="center" wrapText="1"/>
    </xf>
    <xf numFmtId="0" fontId="4" fillId="0" borderId="30" xfId="0" applyFont="1" applyBorder="1" applyAlignment="1">
      <alignment horizontal="center"/>
    </xf>
    <xf numFmtId="0" fontId="0" fillId="0" borderId="1" xfId="0" applyBorder="1" applyAlignment="1">
      <alignment horizontal="center"/>
    </xf>
    <xf numFmtId="0" fontId="4" fillId="9" borderId="45" xfId="0" applyFont="1" applyFill="1" applyBorder="1" applyAlignment="1">
      <alignment horizontal="center" vertical="center"/>
    </xf>
    <xf numFmtId="0" fontId="4" fillId="9" borderId="46" xfId="0" applyFont="1" applyFill="1" applyBorder="1" applyAlignment="1">
      <alignment horizontal="center" vertical="center"/>
    </xf>
    <xf numFmtId="0" fontId="4" fillId="9" borderId="47" xfId="0" applyFont="1" applyFill="1" applyBorder="1" applyAlignment="1">
      <alignment horizontal="center" vertical="center"/>
    </xf>
    <xf numFmtId="0" fontId="4" fillId="9" borderId="48" xfId="0" applyFont="1" applyFill="1" applyBorder="1" applyAlignment="1">
      <alignment horizontal="center" vertical="center"/>
    </xf>
    <xf numFmtId="0" fontId="26" fillId="0" borderId="0" xfId="0" applyFont="1" applyAlignment="1">
      <alignment vertical="center"/>
    </xf>
  </cellXfs>
  <cellStyles count="6">
    <cellStyle name="Hipervínculo" xfId="4" builtinId="8"/>
    <cellStyle name="Millares" xfId="2" builtinId="3"/>
    <cellStyle name="Moneda" xfId="1" builtinId="4"/>
    <cellStyle name="Moneda [0]" xfId="5" builtinId="7"/>
    <cellStyle name="Normal" xfId="0" builtinId="0"/>
    <cellStyle name="Porcentaje" xfId="3" builtinId="5"/>
  </cellStyles>
  <dxfs count="37">
    <dxf>
      <font>
        <strike/>
      </font>
      <fill>
        <patternFill>
          <bgColor theme="2" tint="-0.499984740745262"/>
        </patternFill>
      </fill>
    </dxf>
    <dxf>
      <font>
        <strike/>
      </font>
      <fill>
        <patternFill>
          <bgColor theme="2" tint="-0.499984740745262"/>
        </patternFill>
      </fill>
    </dxf>
    <dxf>
      <font>
        <strike/>
      </font>
      <fill>
        <patternFill>
          <bgColor theme="2" tint="-0.24994659260841701"/>
        </patternFill>
      </fill>
    </dxf>
    <dxf>
      <fill>
        <patternFill>
          <bgColor theme="2" tint="-0.24994659260841701"/>
        </patternFill>
      </fill>
    </dxf>
    <dxf>
      <fill>
        <patternFill>
          <bgColor theme="0" tint="-0.34998626667073579"/>
        </patternFill>
      </fill>
    </dxf>
    <dxf>
      <font>
        <strike/>
      </font>
      <fill>
        <patternFill>
          <bgColor theme="2" tint="-0.499984740745262"/>
        </patternFill>
      </fill>
    </dxf>
    <dxf>
      <font>
        <strike/>
      </font>
      <fill>
        <patternFill>
          <bgColor theme="2" tint="-0.499984740745262"/>
        </patternFill>
      </fill>
    </dxf>
    <dxf>
      <font>
        <strike/>
      </font>
      <fill>
        <patternFill>
          <bgColor theme="2" tint="-0.499984740745262"/>
        </patternFill>
      </fill>
    </dxf>
    <dxf>
      <font>
        <strike/>
      </font>
      <fill>
        <patternFill>
          <bgColor theme="2" tint="-0.499984740745262"/>
        </patternFill>
      </fill>
    </dxf>
    <dxf>
      <font>
        <strike/>
      </font>
      <fill>
        <patternFill>
          <bgColor theme="2" tint="-0.499984740745262"/>
        </patternFill>
      </fill>
    </dxf>
    <dxf>
      <font>
        <strike/>
      </font>
      <fill>
        <patternFill>
          <bgColor theme="2" tint="-0.499984740745262"/>
        </patternFill>
      </fill>
    </dxf>
    <dxf>
      <font>
        <strike/>
      </font>
      <fill>
        <patternFill>
          <bgColor theme="2" tint="-0.499984740745262"/>
        </patternFill>
      </fill>
    </dxf>
    <dxf>
      <font>
        <strike/>
      </font>
      <fill>
        <patternFill>
          <bgColor theme="2" tint="-0.499984740745262"/>
        </patternFill>
      </fill>
    </dxf>
    <dxf>
      <fill>
        <patternFill>
          <bgColor theme="2" tint="-0.24994659260841701"/>
        </patternFill>
      </fill>
    </dxf>
    <dxf>
      <font>
        <strike/>
      </font>
      <fill>
        <patternFill>
          <bgColor theme="2" tint="-0.499984740745262"/>
        </patternFill>
      </fill>
    </dxf>
    <dxf>
      <font>
        <strike/>
      </font>
      <fill>
        <patternFill>
          <bgColor theme="0" tint="-0.499984740745262"/>
        </patternFill>
      </fill>
    </dxf>
    <dxf>
      <font>
        <strike/>
      </font>
      <fill>
        <patternFill>
          <bgColor theme="0" tint="-0.499984740745262"/>
        </patternFill>
      </fill>
    </dxf>
    <dxf>
      <font>
        <strike/>
      </font>
      <fill>
        <patternFill>
          <bgColor theme="2" tint="-0.499984740745262"/>
        </patternFill>
      </fill>
    </dxf>
    <dxf>
      <font>
        <strike/>
      </font>
      <fill>
        <patternFill>
          <bgColor theme="0" tint="-0.499984740745262"/>
        </patternFill>
      </fill>
    </dxf>
    <dxf>
      <font>
        <strike/>
      </font>
      <fill>
        <patternFill>
          <bgColor theme="0" tint="-0.499984740745262"/>
        </patternFill>
      </fill>
    </dxf>
    <dxf>
      <font>
        <strike/>
      </font>
      <fill>
        <patternFill>
          <bgColor theme="2" tint="-0.499984740745262"/>
        </patternFill>
      </fill>
    </dxf>
    <dxf>
      <font>
        <strike/>
      </font>
      <fill>
        <patternFill>
          <bgColor theme="0" tint="-0.499984740745262"/>
        </patternFill>
      </fill>
    </dxf>
    <dxf>
      <font>
        <strike/>
      </font>
      <fill>
        <patternFill>
          <bgColor theme="0" tint="-0.499984740745262"/>
        </patternFill>
      </fill>
    </dxf>
    <dxf>
      <font>
        <strike/>
      </font>
      <fill>
        <patternFill>
          <bgColor theme="0" tint="-0.499984740745262"/>
        </patternFill>
      </fill>
    </dxf>
    <dxf>
      <font>
        <strike/>
      </font>
      <fill>
        <patternFill>
          <bgColor theme="2" tint="-0.499984740745262"/>
        </patternFill>
      </fill>
    </dxf>
    <dxf>
      <font>
        <strike/>
      </font>
      <fill>
        <patternFill>
          <bgColor theme="0" tint="-0.499984740745262"/>
        </patternFill>
      </fill>
    </dxf>
    <dxf>
      <font>
        <strike/>
      </font>
      <fill>
        <patternFill>
          <bgColor theme="2" tint="-0.499984740745262"/>
        </patternFill>
      </fill>
    </dxf>
    <dxf>
      <font>
        <strike/>
      </font>
      <fill>
        <patternFill>
          <bgColor theme="0" tint="-0.499984740745262"/>
        </patternFill>
      </fill>
    </dxf>
    <dxf>
      <font>
        <strike/>
      </font>
      <fill>
        <patternFill>
          <bgColor theme="0" tint="-0.499984740745262"/>
        </patternFill>
      </fill>
    </dxf>
    <dxf>
      <font>
        <strike/>
      </font>
      <fill>
        <patternFill>
          <bgColor theme="2" tint="-0.499984740745262"/>
        </patternFill>
      </fill>
    </dxf>
    <dxf>
      <font>
        <strike/>
      </font>
      <fill>
        <patternFill>
          <bgColor theme="0" tint="-0.499984740745262"/>
        </patternFill>
      </fill>
    </dxf>
    <dxf>
      <font>
        <strike/>
      </font>
      <fill>
        <patternFill>
          <bgColor theme="2" tint="-0.499984740745262"/>
        </patternFill>
      </fill>
    </dxf>
    <dxf>
      <font>
        <strike/>
      </font>
      <fill>
        <patternFill>
          <bgColor theme="6" tint="-0.24994659260841701"/>
        </patternFill>
      </fill>
    </dxf>
    <dxf>
      <font>
        <strike/>
      </font>
      <fill>
        <patternFill>
          <bgColor theme="6" tint="-0.24994659260841701"/>
        </patternFill>
      </fill>
    </dxf>
    <dxf>
      <font>
        <strike/>
      </font>
      <fill>
        <patternFill>
          <bgColor theme="6" tint="-0.24994659260841701"/>
        </patternFill>
      </fill>
    </dxf>
    <dxf>
      <font>
        <strike/>
      </font>
      <fill>
        <patternFill>
          <bgColor theme="6" tint="-0.24994659260841701"/>
        </patternFill>
      </fill>
    </dxf>
    <dxf>
      <font>
        <strike/>
      </font>
      <fill>
        <patternFill>
          <bgColor theme="6"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4206875</xdr:colOff>
      <xdr:row>0</xdr:row>
      <xdr:rowOff>105832</xdr:rowOff>
    </xdr:from>
    <xdr:to>
      <xdr:col>6</xdr:col>
      <xdr:colOff>965729</xdr:colOff>
      <xdr:row>8</xdr:row>
      <xdr:rowOff>107041</xdr:rowOff>
    </xdr:to>
    <xdr:pic>
      <xdr:nvPicPr>
        <xdr:cNvPr id="2" name="Imagen 1">
          <a:extLst>
            <a:ext uri="{FF2B5EF4-FFF2-40B4-BE49-F238E27FC236}">
              <a16:creationId xmlns="" xmlns:a16="http://schemas.microsoft.com/office/drawing/2014/main" id="{E7824AE8-3E74-4D69-AF68-C728DC9539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81563" y="105832"/>
          <a:ext cx="3122083" cy="16945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4468098</xdr:colOff>
      <xdr:row>0</xdr:row>
      <xdr:rowOff>115450</xdr:rowOff>
    </xdr:from>
    <xdr:to>
      <xdr:col>7</xdr:col>
      <xdr:colOff>369461</xdr:colOff>
      <xdr:row>8</xdr:row>
      <xdr:rowOff>99742</xdr:rowOff>
    </xdr:to>
    <xdr:pic>
      <xdr:nvPicPr>
        <xdr:cNvPr id="2" name="Imagen 1">
          <a:extLst>
            <a:ext uri="{FF2B5EF4-FFF2-40B4-BE49-F238E27FC236}">
              <a16:creationId xmlns="" xmlns:a16="http://schemas.microsoft.com/office/drawing/2014/main" id="{8F4BF518-6CFA-4E67-AD5A-5159A473AC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10734" y="115450"/>
          <a:ext cx="3024909" cy="16468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4584700</xdr:colOff>
      <xdr:row>0</xdr:row>
      <xdr:rowOff>50800</xdr:rowOff>
    </xdr:from>
    <xdr:to>
      <xdr:col>7</xdr:col>
      <xdr:colOff>444500</xdr:colOff>
      <xdr:row>7</xdr:row>
      <xdr:rowOff>124516</xdr:rowOff>
    </xdr:to>
    <xdr:pic>
      <xdr:nvPicPr>
        <xdr:cNvPr id="2" name="Imagen 1">
          <a:extLst>
            <a:ext uri="{FF2B5EF4-FFF2-40B4-BE49-F238E27FC236}">
              <a16:creationId xmlns="" xmlns:a16="http://schemas.microsoft.com/office/drawing/2014/main" id="{BD8A183F-DC1C-4092-AC8D-AC112E7534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92700" y="50800"/>
          <a:ext cx="2425700" cy="13183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4959349</xdr:colOff>
      <xdr:row>0</xdr:row>
      <xdr:rowOff>63500</xdr:rowOff>
    </xdr:from>
    <xdr:to>
      <xdr:col>7</xdr:col>
      <xdr:colOff>199898</xdr:colOff>
      <xdr:row>7</xdr:row>
      <xdr:rowOff>165100</xdr:rowOff>
    </xdr:to>
    <xdr:pic>
      <xdr:nvPicPr>
        <xdr:cNvPr id="2" name="Imagen 1">
          <a:extLst>
            <a:ext uri="{FF2B5EF4-FFF2-40B4-BE49-F238E27FC236}">
              <a16:creationId xmlns="" xmlns:a16="http://schemas.microsoft.com/office/drawing/2014/main" id="{B4D89BB5-1ED2-4CE1-BCA2-92E29E9B4A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54649" y="63500"/>
          <a:ext cx="2885949" cy="156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anSebastian/Downloads/MATRIZ%20DE%20COSTO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uestas al formulario 2"/>
      <sheetName val="COSTOS DIR. ATEP"/>
      <sheetName val="COSTOS INDI. ATEP "/>
      <sheetName val="COSTOS PESV"/>
      <sheetName val="PESV"/>
      <sheetName val="MANO DE OBRA"/>
      <sheetName val="S N"/>
      <sheetName val="OPERADOR"/>
      <sheetName val="LISTA DE ACTIVIDADES"/>
      <sheetName val="COSTO INCUMPLIMIENTO LEGAL"/>
      <sheetName val="COSTOS POR DEMANDAS"/>
      <sheetName val="Hoja1"/>
      <sheetName val="INCUMPLIMIENTO LEGAL (SGSST)"/>
      <sheetName val="DEMANDAS"/>
      <sheetName val="DEM"/>
      <sheetName val="MAQ-ACTIVI"/>
    </sheetNames>
    <sheetDataSet>
      <sheetData sheetId="0"/>
      <sheetData sheetId="1"/>
      <sheetData sheetId="2"/>
      <sheetData sheetId="3"/>
      <sheetData sheetId="4"/>
      <sheetData sheetId="5"/>
      <sheetData sheetId="6"/>
      <sheetData sheetId="7"/>
      <sheetData sheetId="8"/>
      <sheetData sheetId="9"/>
      <sheetData sheetId="10">
        <row r="10">
          <cell r="B10" t="str">
            <v>INGRESO ANUAL  A RECIBIR</v>
          </cell>
        </row>
        <row r="15">
          <cell r="B15" t="str">
            <v xml:space="preserve">IPC PROMEDIO ULTIMOS  10 AÑOS </v>
          </cell>
        </row>
      </sheetData>
      <sheetData sheetId="1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hyperlink" Target="https://www.indexmundi.com/es/colombia/poblacion_perfil.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9:K132"/>
  <sheetViews>
    <sheetView showGridLines="0" tabSelected="1" view="pageBreakPreview" zoomScaleNormal="100" zoomScaleSheetLayoutView="100" workbookViewId="0">
      <selection activeCell="E41" sqref="E41"/>
    </sheetView>
  </sheetViews>
  <sheetFormatPr baseColWidth="10" defaultColWidth="11.42578125" defaultRowHeight="17.25" x14ac:dyDescent="0.25"/>
  <cols>
    <col min="1" max="1" width="4.7109375" style="265" customWidth="1"/>
    <col min="2" max="2" width="2" style="265" customWidth="1"/>
    <col min="3" max="3" width="2.85546875" style="265" customWidth="1"/>
    <col min="4" max="4" width="70.140625" style="265" customWidth="1"/>
    <col min="5" max="5" width="9.42578125" style="265" bestFit="1" customWidth="1"/>
    <col min="6" max="6" width="11.42578125" style="265"/>
    <col min="7" max="7" width="70.85546875" style="265" customWidth="1"/>
    <col min="8" max="8" width="2.5703125" style="265" customWidth="1"/>
    <col min="9" max="9" width="8.42578125" style="265" customWidth="1"/>
    <col min="10" max="12" width="0" style="265" hidden="1" customWidth="1"/>
    <col min="13" max="16384" width="11.42578125" style="265"/>
  </cols>
  <sheetData>
    <row r="9" spans="2:11" ht="18" thickBot="1" x14ac:dyDescent="0.3"/>
    <row r="10" spans="2:11" ht="18" thickBot="1" x14ac:dyDescent="0.3">
      <c r="B10" s="252"/>
      <c r="C10" s="253"/>
      <c r="D10" s="253"/>
      <c r="E10" s="253"/>
      <c r="F10" s="253"/>
      <c r="G10" s="253"/>
      <c r="H10" s="255"/>
      <c r="J10" s="265" t="s">
        <v>139</v>
      </c>
      <c r="K10" s="265" t="s">
        <v>21</v>
      </c>
    </row>
    <row r="11" spans="2:11" ht="18" thickBot="1" x14ac:dyDescent="0.3">
      <c r="B11" s="256"/>
      <c r="C11" s="244"/>
      <c r="D11" s="361" t="s">
        <v>241</v>
      </c>
      <c r="E11" s="362"/>
      <c r="F11" s="362"/>
      <c r="G11" s="363"/>
      <c r="H11" s="257"/>
      <c r="J11" s="265" t="s">
        <v>140</v>
      </c>
      <c r="K11" s="265" t="s">
        <v>25</v>
      </c>
    </row>
    <row r="12" spans="2:11" x14ac:dyDescent="0.25">
      <c r="B12" s="256"/>
      <c r="C12" s="244"/>
      <c r="D12" s="244"/>
      <c r="E12" s="244"/>
      <c r="F12" s="244"/>
      <c r="G12" s="244"/>
      <c r="H12" s="257"/>
    </row>
    <row r="13" spans="2:11" ht="33.75" customHeight="1" x14ac:dyDescent="0.25">
      <c r="B13" s="256"/>
      <c r="C13" s="244"/>
      <c r="D13" s="364" t="s">
        <v>242</v>
      </c>
      <c r="E13" s="364"/>
      <c r="F13" s="364"/>
      <c r="G13" s="364"/>
      <c r="H13" s="257"/>
    </row>
    <row r="14" spans="2:11" x14ac:dyDescent="0.25">
      <c r="B14" s="256"/>
      <c r="C14" s="244"/>
      <c r="D14" s="244"/>
      <c r="E14" s="244"/>
      <c r="F14" s="244"/>
      <c r="G14" s="244"/>
      <c r="H14" s="257"/>
    </row>
    <row r="15" spans="2:11" x14ac:dyDescent="0.25">
      <c r="B15" s="256"/>
      <c r="C15" s="266" t="s">
        <v>141</v>
      </c>
      <c r="D15" s="231" t="s">
        <v>243</v>
      </c>
      <c r="E15" s="244"/>
      <c r="F15" s="262" t="s">
        <v>145</v>
      </c>
      <c r="G15" s="232" t="s">
        <v>246</v>
      </c>
      <c r="H15" s="257"/>
    </row>
    <row r="16" spans="2:11" ht="18" thickBot="1" x14ac:dyDescent="0.3">
      <c r="B16" s="256"/>
      <c r="C16" s="244"/>
      <c r="D16" s="244"/>
      <c r="E16" s="244"/>
      <c r="F16" s="244"/>
      <c r="G16" s="244"/>
      <c r="H16" s="257"/>
    </row>
    <row r="17" spans="2:9" ht="18" thickBot="1" x14ac:dyDescent="0.3">
      <c r="B17" s="256"/>
      <c r="C17" s="244"/>
      <c r="D17" s="198" t="s">
        <v>155</v>
      </c>
      <c r="E17" s="244" t="s">
        <v>20</v>
      </c>
      <c r="F17" s="244"/>
      <c r="G17" s="198">
        <v>5</v>
      </c>
      <c r="H17" s="257" t="s">
        <v>20</v>
      </c>
    </row>
    <row r="18" spans="2:9" ht="33.75" customHeight="1" x14ac:dyDescent="0.25">
      <c r="B18" s="256"/>
      <c r="C18" s="244"/>
      <c r="D18" s="244"/>
      <c r="E18" s="244"/>
      <c r="F18" s="244"/>
      <c r="G18" s="343" t="s">
        <v>247</v>
      </c>
      <c r="H18" s="257"/>
    </row>
    <row r="19" spans="2:9" ht="34.5" x14ac:dyDescent="0.25">
      <c r="B19" s="256"/>
      <c r="C19" s="266" t="s">
        <v>142</v>
      </c>
      <c r="D19" s="232" t="s">
        <v>244</v>
      </c>
      <c r="E19" s="244"/>
      <c r="F19" s="244"/>
      <c r="G19" s="251" t="s">
        <v>36</v>
      </c>
      <c r="H19" s="257"/>
    </row>
    <row r="20" spans="2:9" ht="18" thickBot="1" x14ac:dyDescent="0.3">
      <c r="B20" s="256"/>
      <c r="C20" s="244"/>
      <c r="D20" s="244"/>
      <c r="E20" s="244"/>
      <c r="F20" s="244"/>
      <c r="G20" s="236"/>
      <c r="H20" s="257"/>
    </row>
    <row r="21" spans="2:9" ht="18" thickBot="1" x14ac:dyDescent="0.3">
      <c r="B21" s="256"/>
      <c r="C21" s="244"/>
      <c r="D21" s="199">
        <v>1200000</v>
      </c>
      <c r="E21" s="244" t="s">
        <v>20</v>
      </c>
      <c r="F21" s="244"/>
      <c r="G21" s="221">
        <f>IF(D25=J11,0,ROUND(IF(G17&lt;=5,G17,G17*5/7),0))</f>
        <v>0</v>
      </c>
      <c r="H21" s="257"/>
    </row>
    <row r="22" spans="2:9" x14ac:dyDescent="0.25">
      <c r="B22" s="256"/>
      <c r="C22" s="244"/>
      <c r="D22" s="244"/>
      <c r="E22" s="244"/>
      <c r="F22" s="244"/>
      <c r="G22" s="244"/>
      <c r="H22" s="257"/>
    </row>
    <row r="23" spans="2:9" x14ac:dyDescent="0.25">
      <c r="B23" s="256"/>
      <c r="C23" s="266" t="s">
        <v>143</v>
      </c>
      <c r="D23" s="231" t="s">
        <v>138</v>
      </c>
      <c r="E23" s="244"/>
      <c r="F23" s="262" t="s">
        <v>218</v>
      </c>
      <c r="G23" s="231" t="s">
        <v>248</v>
      </c>
      <c r="H23" s="257"/>
    </row>
    <row r="24" spans="2:9" ht="18" thickBot="1" x14ac:dyDescent="0.3">
      <c r="B24" s="256"/>
      <c r="C24" s="244"/>
      <c r="D24" s="244"/>
      <c r="E24" s="244"/>
      <c r="F24" s="244"/>
      <c r="G24" s="244"/>
      <c r="H24" s="257"/>
    </row>
    <row r="25" spans="2:9" ht="18" thickBot="1" x14ac:dyDescent="0.3">
      <c r="B25" s="256"/>
      <c r="C25" s="244"/>
      <c r="D25" s="198" t="s">
        <v>140</v>
      </c>
      <c r="E25" s="244" t="s">
        <v>20</v>
      </c>
      <c r="F25" s="244"/>
      <c r="G25" s="198">
        <v>3</v>
      </c>
      <c r="H25" s="257" t="s">
        <v>20</v>
      </c>
    </row>
    <row r="26" spans="2:9" ht="15" customHeight="1" x14ac:dyDescent="0.25">
      <c r="B26" s="256"/>
      <c r="C26" s="244"/>
      <c r="D26" s="236"/>
      <c r="E26" s="244"/>
      <c r="F26" s="244"/>
      <c r="G26" s="366" t="s">
        <v>250</v>
      </c>
      <c r="H26" s="257"/>
    </row>
    <row r="27" spans="2:9" x14ac:dyDescent="0.25">
      <c r="B27" s="256"/>
      <c r="C27" s="266" t="s">
        <v>144</v>
      </c>
      <c r="D27" s="232" t="s">
        <v>245</v>
      </c>
      <c r="E27" s="244"/>
      <c r="F27" s="262"/>
      <c r="G27" s="367"/>
      <c r="H27" s="257"/>
    </row>
    <row r="28" spans="2:9" ht="18" thickBot="1" x14ac:dyDescent="0.3">
      <c r="B28" s="256"/>
      <c r="C28" s="244"/>
      <c r="D28" s="244"/>
      <c r="E28" s="244"/>
      <c r="F28" s="244"/>
      <c r="G28" s="367"/>
      <c r="H28" s="257"/>
    </row>
    <row r="29" spans="2:9" ht="36.75" customHeight="1" thickBot="1" x14ac:dyDescent="0.3">
      <c r="B29" s="256"/>
      <c r="C29" s="244"/>
      <c r="D29" s="198">
        <v>4</v>
      </c>
      <c r="E29" s="244" t="s">
        <v>20</v>
      </c>
      <c r="F29" s="262" t="s">
        <v>146</v>
      </c>
      <c r="G29" s="232" t="s">
        <v>251</v>
      </c>
      <c r="H29" s="257"/>
      <c r="I29" s="257"/>
    </row>
    <row r="30" spans="2:9" ht="32.25" customHeight="1" thickBot="1" x14ac:dyDescent="0.3">
      <c r="B30" s="256"/>
      <c r="C30" s="244"/>
      <c r="D30" s="343" t="s">
        <v>349</v>
      </c>
      <c r="E30" s="244"/>
      <c r="F30" s="244"/>
      <c r="G30" s="244"/>
      <c r="H30" s="257"/>
    </row>
    <row r="31" spans="2:9" ht="18" thickBot="1" x14ac:dyDescent="0.3">
      <c r="B31" s="256"/>
      <c r="C31" s="352"/>
      <c r="D31" s="267"/>
      <c r="E31" s="244"/>
      <c r="F31" s="244"/>
      <c r="G31" s="198">
        <v>2</v>
      </c>
      <c r="H31" s="257" t="s">
        <v>20</v>
      </c>
    </row>
    <row r="32" spans="2:9" ht="52.5" thickBot="1" x14ac:dyDescent="0.3">
      <c r="B32" s="259"/>
      <c r="C32" s="249"/>
      <c r="D32" s="249"/>
      <c r="E32" s="250"/>
      <c r="F32" s="250"/>
      <c r="G32" s="229" t="s">
        <v>339</v>
      </c>
      <c r="H32" s="353"/>
    </row>
    <row r="33" spans="2:8" x14ac:dyDescent="0.25">
      <c r="B33" s="252"/>
      <c r="C33" s="253"/>
      <c r="D33" s="254"/>
      <c r="E33" s="253"/>
      <c r="F33" s="253"/>
      <c r="G33" s="342"/>
      <c r="H33" s="255"/>
    </row>
    <row r="34" spans="2:8" x14ac:dyDescent="0.25">
      <c r="B34" s="256"/>
      <c r="C34" s="244"/>
      <c r="D34" s="365" t="s">
        <v>23</v>
      </c>
      <c r="E34" s="365"/>
      <c r="F34" s="365"/>
      <c r="G34" s="365"/>
      <c r="H34" s="257"/>
    </row>
    <row r="35" spans="2:8" x14ac:dyDescent="0.25">
      <c r="B35" s="256"/>
      <c r="C35" s="244"/>
      <c r="D35" s="244"/>
      <c r="E35" s="244"/>
      <c r="F35" s="244"/>
      <c r="G35" s="244"/>
      <c r="H35" s="257"/>
    </row>
    <row r="36" spans="2:8" ht="30.75" customHeight="1" x14ac:dyDescent="0.25">
      <c r="B36" s="256"/>
      <c r="C36" s="244"/>
      <c r="D36" s="233" t="s">
        <v>252</v>
      </c>
      <c r="E36" s="244"/>
      <c r="F36" s="244"/>
      <c r="G36" s="233" t="s">
        <v>267</v>
      </c>
      <c r="H36" s="258"/>
    </row>
    <row r="37" spans="2:8" ht="18" thickBot="1" x14ac:dyDescent="0.3">
      <c r="B37" s="256"/>
      <c r="C37" s="244"/>
      <c r="D37" s="244"/>
      <c r="E37" s="244"/>
      <c r="F37" s="244"/>
      <c r="G37" s="244"/>
      <c r="H37" s="258"/>
    </row>
    <row r="38" spans="2:8" ht="18" thickBot="1" x14ac:dyDescent="0.3">
      <c r="B38" s="256"/>
      <c r="C38" s="244"/>
      <c r="D38" s="235">
        <f>+IF(D25="NO",0,ROUND(D21/30,1))</f>
        <v>0</v>
      </c>
      <c r="E38" s="244"/>
      <c r="F38" s="244"/>
      <c r="G38" s="235">
        <f>ROUND(+D38*30*G17/360,1)</f>
        <v>0</v>
      </c>
      <c r="H38" s="258"/>
    </row>
    <row r="39" spans="2:8" ht="18" thickBot="1" x14ac:dyDescent="0.3">
      <c r="B39" s="256"/>
      <c r="C39" s="244"/>
      <c r="D39" s="241"/>
      <c r="E39" s="244"/>
      <c r="F39" s="244"/>
      <c r="G39" s="244"/>
      <c r="H39" s="258"/>
    </row>
    <row r="40" spans="2:8" ht="35.25" thickBot="1" x14ac:dyDescent="0.3">
      <c r="B40" s="256"/>
      <c r="C40" s="244"/>
      <c r="D40" s="233" t="s">
        <v>253</v>
      </c>
      <c r="E40" s="221">
        <f>+IF(D25="NO",0,ROUND(G17*15/360,2))</f>
        <v>0</v>
      </c>
      <c r="F40" s="244"/>
      <c r="G40" s="233" t="s">
        <v>254</v>
      </c>
      <c r="H40" s="258"/>
    </row>
    <row r="41" spans="2:8" ht="18" thickBot="1" x14ac:dyDescent="0.3">
      <c r="B41" s="256"/>
      <c r="C41" s="244"/>
      <c r="D41" s="244"/>
      <c r="E41" s="244"/>
      <c r="F41" s="244"/>
      <c r="G41" s="244"/>
      <c r="H41" s="258"/>
    </row>
    <row r="42" spans="2:8" ht="35.25" thickBot="1" x14ac:dyDescent="0.3">
      <c r="B42" s="256"/>
      <c r="C42" s="244"/>
      <c r="D42" s="233" t="s">
        <v>32</v>
      </c>
      <c r="E42" s="244"/>
      <c r="F42" s="244"/>
      <c r="G42" s="235">
        <f>+ROUND(G38*0.12,1)</f>
        <v>0</v>
      </c>
      <c r="H42" s="258"/>
    </row>
    <row r="43" spans="2:8" ht="18" thickBot="1" x14ac:dyDescent="0.3">
      <c r="B43" s="256"/>
      <c r="C43" s="244"/>
      <c r="D43" s="244"/>
      <c r="E43" s="244"/>
      <c r="F43" s="244"/>
      <c r="G43" s="236"/>
      <c r="H43" s="258"/>
    </row>
    <row r="44" spans="2:8" ht="18" thickBot="1" x14ac:dyDescent="0.3">
      <c r="B44" s="256"/>
      <c r="C44" s="244"/>
      <c r="D44" s="235">
        <f>ROUND(+D21*E40/30,1)</f>
        <v>0</v>
      </c>
      <c r="E44" s="244"/>
      <c r="F44" s="244"/>
      <c r="G44" s="236"/>
      <c r="H44" s="258"/>
    </row>
    <row r="45" spans="2:8" ht="18" thickBot="1" x14ac:dyDescent="0.3">
      <c r="B45" s="256"/>
      <c r="C45" s="244"/>
      <c r="D45" s="244"/>
      <c r="E45" s="244"/>
      <c r="F45" s="244"/>
      <c r="G45" s="234" t="s">
        <v>34</v>
      </c>
      <c r="H45" s="258"/>
    </row>
    <row r="46" spans="2:8" ht="18.75" thickTop="1" thickBot="1" x14ac:dyDescent="0.3">
      <c r="B46" s="256"/>
      <c r="C46" s="244"/>
      <c r="D46" s="233" t="s">
        <v>33</v>
      </c>
      <c r="E46" s="244"/>
      <c r="F46" s="244"/>
      <c r="G46" s="243"/>
      <c r="H46" s="258"/>
    </row>
    <row r="47" spans="2:8" ht="18" thickBot="1" x14ac:dyDescent="0.3">
      <c r="B47" s="256"/>
      <c r="C47" s="244"/>
      <c r="D47" s="244"/>
      <c r="E47" s="244"/>
      <c r="F47" s="244"/>
      <c r="G47" s="237">
        <f>+D48+G42+G38+D44+D38</f>
        <v>0</v>
      </c>
      <c r="H47" s="258"/>
    </row>
    <row r="48" spans="2:8" ht="18" thickBot="1" x14ac:dyDescent="0.3">
      <c r="B48" s="256"/>
      <c r="C48" s="244"/>
      <c r="D48" s="235">
        <f>ROUND(+D38*30*G17/360,1)</f>
        <v>0</v>
      </c>
      <c r="E48" s="244"/>
      <c r="F48" s="244"/>
      <c r="G48" s="236"/>
      <c r="H48" s="258"/>
    </row>
    <row r="49" spans="2:8" ht="18" thickBot="1" x14ac:dyDescent="0.3">
      <c r="B49" s="259"/>
      <c r="C49" s="250"/>
      <c r="D49" s="250"/>
      <c r="E49" s="250"/>
      <c r="F49" s="250"/>
      <c r="G49" s="260"/>
      <c r="H49" s="261"/>
    </row>
    <row r="50" spans="2:8" ht="8.25" customHeight="1" x14ac:dyDescent="0.25">
      <c r="B50" s="256"/>
      <c r="C50" s="244"/>
      <c r="D50" s="243"/>
      <c r="E50" s="244"/>
      <c r="F50" s="244"/>
      <c r="G50" s="236"/>
      <c r="H50" s="258"/>
    </row>
    <row r="51" spans="2:8" x14ac:dyDescent="0.25">
      <c r="B51" s="256"/>
      <c r="C51" s="244"/>
      <c r="D51" s="359" t="s">
        <v>22</v>
      </c>
      <c r="E51" s="359"/>
      <c r="F51" s="359"/>
      <c r="G51" s="359"/>
      <c r="H51" s="257"/>
    </row>
    <row r="52" spans="2:8" ht="18" thickBot="1" x14ac:dyDescent="0.3">
      <c r="B52" s="256"/>
      <c r="C52" s="244"/>
      <c r="D52" s="239"/>
      <c r="E52" s="239"/>
      <c r="F52" s="239"/>
      <c r="G52" s="239"/>
      <c r="H52" s="257"/>
    </row>
    <row r="53" spans="2:8" ht="35.25" thickBot="1" x14ac:dyDescent="0.3">
      <c r="B53" s="256"/>
      <c r="C53" s="244"/>
      <c r="D53" s="238" t="s">
        <v>162</v>
      </c>
      <c r="E53" s="239"/>
      <c r="F53" s="361" t="str">
        <f>IF(D17="",0,+VLOOKUP(D17,'RENDIMIENTOS Y TARIFAS'!A3:F15,6,0))</f>
        <v>MAQUINARIA</v>
      </c>
      <c r="G53" s="363"/>
      <c r="H53" s="257"/>
    </row>
    <row r="54" spans="2:8" ht="18" thickBot="1" x14ac:dyDescent="0.3">
      <c r="B54" s="256"/>
      <c r="C54" s="244"/>
      <c r="D54" s="239"/>
      <c r="E54" s="239"/>
      <c r="F54" s="239"/>
      <c r="G54" s="239"/>
      <c r="H54" s="257"/>
    </row>
    <row r="55" spans="2:8" ht="18" thickBot="1" x14ac:dyDescent="0.3">
      <c r="B55" s="256"/>
      <c r="C55" s="262" t="s">
        <v>165</v>
      </c>
      <c r="D55" s="231" t="s">
        <v>255</v>
      </c>
      <c r="E55" s="239"/>
      <c r="F55" s="371" t="s">
        <v>139</v>
      </c>
      <c r="G55" s="372"/>
      <c r="H55" s="257" t="s">
        <v>20</v>
      </c>
    </row>
    <row r="56" spans="2:8" ht="18" thickBot="1" x14ac:dyDescent="0.3">
      <c r="B56" s="256"/>
      <c r="C56" s="244"/>
      <c r="D56" s="239"/>
      <c r="E56" s="239"/>
      <c r="F56" s="239"/>
      <c r="G56" s="239"/>
      <c r="H56" s="257"/>
    </row>
    <row r="57" spans="2:8" ht="18" thickBot="1" x14ac:dyDescent="0.3">
      <c r="B57" s="256"/>
      <c r="C57" s="262" t="s">
        <v>207</v>
      </c>
      <c r="D57" s="231" t="s">
        <v>164</v>
      </c>
      <c r="E57" s="239"/>
      <c r="F57" s="371" t="s">
        <v>219</v>
      </c>
      <c r="G57" s="372"/>
      <c r="H57" s="257" t="s">
        <v>20</v>
      </c>
    </row>
    <row r="58" spans="2:8" ht="38.25" customHeight="1" x14ac:dyDescent="0.25">
      <c r="B58" s="256"/>
      <c r="C58" s="244"/>
      <c r="D58" s="239"/>
      <c r="E58" s="239"/>
      <c r="F58" s="373" t="s">
        <v>249</v>
      </c>
      <c r="G58" s="373"/>
      <c r="H58" s="257"/>
    </row>
    <row r="59" spans="2:8" ht="18" thickBot="1" x14ac:dyDescent="0.3">
      <c r="B59" s="256"/>
      <c r="C59" s="244"/>
      <c r="D59" s="239"/>
      <c r="E59" s="239"/>
      <c r="F59" s="239"/>
      <c r="G59" s="239"/>
      <c r="H59" s="257"/>
    </row>
    <row r="60" spans="2:8" ht="52.5" thickBot="1" x14ac:dyDescent="0.3">
      <c r="B60" s="256"/>
      <c r="C60" s="244"/>
      <c r="D60" s="238" t="s">
        <v>257</v>
      </c>
      <c r="E60" s="239"/>
      <c r="F60" s="361">
        <f>+INDEX('RENDIMIENTOS Y TARIFAS'!U2:AK14,MATCH('COSTOS POR ATEL'!D17,'RENDIMIENTOS Y TARIFAS'!T2:T14,0),MATCH('COSTOS POR ATEL'!F57,'RENDIMIENTOS Y TARIFAS'!U1:AK1,0))</f>
        <v>0</v>
      </c>
      <c r="G60" s="363"/>
      <c r="H60" s="257"/>
    </row>
    <row r="61" spans="2:8" x14ac:dyDescent="0.25">
      <c r="B61" s="256"/>
      <c r="C61" s="244"/>
      <c r="D61" s="239"/>
      <c r="E61" s="239"/>
      <c r="F61" s="239"/>
      <c r="G61" s="239"/>
      <c r="H61" s="257"/>
    </row>
    <row r="62" spans="2:8" x14ac:dyDescent="0.25">
      <c r="B62" s="256"/>
      <c r="C62" s="244"/>
      <c r="D62" s="263"/>
      <c r="E62" s="263"/>
      <c r="F62" s="263"/>
      <c r="G62" s="263"/>
      <c r="H62" s="257"/>
    </row>
    <row r="63" spans="2:8" ht="45" customHeight="1" x14ac:dyDescent="0.25">
      <c r="B63" s="256"/>
      <c r="C63" s="244"/>
      <c r="D63" s="238" t="s">
        <v>256</v>
      </c>
      <c r="E63" s="239"/>
      <c r="F63" s="239"/>
      <c r="G63" s="238" t="s">
        <v>258</v>
      </c>
      <c r="H63" s="257"/>
    </row>
    <row r="64" spans="2:8" ht="18" thickBot="1" x14ac:dyDescent="0.3">
      <c r="B64" s="256"/>
      <c r="C64" s="244"/>
      <c r="D64" s="239"/>
      <c r="E64" s="239"/>
      <c r="F64" s="239"/>
      <c r="G64" s="239"/>
      <c r="H64" s="257"/>
    </row>
    <row r="65" spans="2:8" ht="18" thickBot="1" x14ac:dyDescent="0.3">
      <c r="B65" s="256"/>
      <c r="C65" s="244"/>
      <c r="D65" s="240">
        <f>+IF(F55=J11,0,IF(F53="MAQUINARIA",IF(D25="NO",0,VLOOKUP(D17,'RENDIMIENTOS Y TARIFAS'!A3:C15,3,0)*(IF(G21&lt;G25,G21,G25))),0))</f>
        <v>0</v>
      </c>
      <c r="E65" s="239"/>
      <c r="F65" s="239"/>
      <c r="G65" s="240">
        <f>+IF(D25="NO",0,IF(F53="MAQUINARIA",0,VLOOKUP(F57,'RENDIMIENTOS Y TARIFAS'!I3:K19,3,0)*'COSTOS POR ATEL'!F60*9.6*IF(G17&lt;G25,G21,G25)))</f>
        <v>0</v>
      </c>
      <c r="H65" s="257"/>
    </row>
    <row r="66" spans="2:8" ht="34.5" x14ac:dyDescent="0.25">
      <c r="B66" s="256"/>
      <c r="C66" s="244"/>
      <c r="D66" s="241"/>
      <c r="E66" s="244"/>
      <c r="F66" s="244"/>
      <c r="G66" s="241" t="s">
        <v>43</v>
      </c>
      <c r="H66" s="257"/>
    </row>
    <row r="67" spans="2:8" ht="51.75" x14ac:dyDescent="0.25">
      <c r="B67" s="256"/>
      <c r="C67" s="244"/>
      <c r="D67" s="238" t="s">
        <v>38</v>
      </c>
      <c r="E67" s="239"/>
      <c r="F67" s="239"/>
      <c r="G67" s="238" t="s">
        <v>259</v>
      </c>
      <c r="H67" s="257"/>
    </row>
    <row r="68" spans="2:8" ht="18" thickBot="1" x14ac:dyDescent="0.3">
      <c r="B68" s="256"/>
      <c r="C68" s="244"/>
      <c r="D68" s="239"/>
      <c r="E68" s="239"/>
      <c r="F68" s="239"/>
      <c r="G68" s="264"/>
      <c r="H68" s="257"/>
    </row>
    <row r="69" spans="2:8" ht="18" thickBot="1" x14ac:dyDescent="0.3">
      <c r="B69" s="256"/>
      <c r="C69" s="244"/>
      <c r="D69" s="240">
        <f>+IF(D25="NO",0,IF(F53="MAQUINARIA",VLOOKUP(F57,'RENDIMIENTOS Y TARIFAS'!I3:K19,3,0)*'COSTOS POR ATEL'!F60*9.6*IF(G17&lt;G25,G21,G25),0))</f>
        <v>0</v>
      </c>
      <c r="E69" s="239"/>
      <c r="F69" s="239"/>
      <c r="G69" s="240">
        <f>+IF(F53="MAQUINARIA",0,VLOOKUP(F57,'RENDIMIENTOS Y TARIFAS'!I3:K19,3,0)*'COSTOS POR ATEL'!F60*IF(G31=0,0,G31))</f>
        <v>0</v>
      </c>
      <c r="H69" s="257"/>
    </row>
    <row r="70" spans="2:8" ht="51.75" x14ac:dyDescent="0.25">
      <c r="B70" s="256"/>
      <c r="C70" s="244"/>
      <c r="D70" s="241" t="s">
        <v>262</v>
      </c>
      <c r="E70" s="239"/>
      <c r="F70" s="239"/>
      <c r="G70" s="239"/>
      <c r="H70" s="257"/>
    </row>
    <row r="71" spans="2:8" ht="51.75" x14ac:dyDescent="0.25">
      <c r="B71" s="256"/>
      <c r="C71" s="244"/>
      <c r="D71" s="238" t="s">
        <v>260</v>
      </c>
      <c r="E71" s="239"/>
      <c r="F71" s="239"/>
      <c r="G71" s="238" t="s">
        <v>44</v>
      </c>
      <c r="H71" s="257"/>
    </row>
    <row r="72" spans="2:8" ht="18" thickBot="1" x14ac:dyDescent="0.3">
      <c r="B72" s="256"/>
      <c r="C72" s="244"/>
      <c r="D72" s="239"/>
      <c r="E72" s="239"/>
      <c r="F72" s="239"/>
      <c r="G72" s="264"/>
      <c r="H72" s="257"/>
    </row>
    <row r="73" spans="2:8" ht="18" thickBot="1" x14ac:dyDescent="0.3">
      <c r="B73" s="256"/>
      <c r="C73" s="244"/>
      <c r="D73" s="240">
        <f>+IF(F53="MAQUINARIA",IF(F55=J10,VLOOKUP(D17,'RENDIMIENTOS Y TARIFAS'!A3:C15,2,0)*(IF(G31=0,0,G31)),0),0)</f>
        <v>291919.36410000001</v>
      </c>
      <c r="E73" s="239"/>
      <c r="F73" s="239"/>
      <c r="G73" s="240">
        <f>+IF(D25="SI",0,IF(F53="MAQUINARIA",0,VLOOKUP(F57,'RENDIMIENTOS Y TARIFAS'!I3:K19,3,0)*'COSTOS POR ATEL'!F60*D29))</f>
        <v>0</v>
      </c>
      <c r="H73" s="257"/>
    </row>
    <row r="74" spans="2:8" x14ac:dyDescent="0.25">
      <c r="B74" s="256"/>
      <c r="C74" s="244"/>
      <c r="D74" s="239"/>
      <c r="E74" s="239"/>
      <c r="F74" s="239"/>
      <c r="G74" s="239"/>
      <c r="H74" s="257"/>
    </row>
    <row r="75" spans="2:8" ht="51.75" x14ac:dyDescent="0.25">
      <c r="B75" s="256"/>
      <c r="C75" s="244"/>
      <c r="D75" s="238" t="s">
        <v>261</v>
      </c>
      <c r="E75" s="239"/>
      <c r="F75" s="239"/>
      <c r="H75" s="257"/>
    </row>
    <row r="76" spans="2:8" ht="18" thickBot="1" x14ac:dyDescent="0.3">
      <c r="B76" s="256"/>
      <c r="C76" s="244"/>
      <c r="D76" s="264"/>
      <c r="E76" s="239"/>
      <c r="F76" s="239"/>
      <c r="H76" s="257"/>
    </row>
    <row r="77" spans="2:8" ht="18" thickBot="1" x14ac:dyDescent="0.3">
      <c r="B77" s="256"/>
      <c r="C77" s="244"/>
      <c r="D77" s="240">
        <f>IF(F53="MAQUINARIA",VLOOKUP(F57,'RENDIMIENTOS Y TARIFAS'!I3:K19,3,0)*'COSTOS POR ATEL'!F60*IF(G31=0,0,G31),0)</f>
        <v>0</v>
      </c>
      <c r="E77" s="239"/>
      <c r="F77" s="239"/>
      <c r="H77" s="257"/>
    </row>
    <row r="78" spans="2:8" x14ac:dyDescent="0.25">
      <c r="B78" s="256"/>
      <c r="C78" s="244"/>
      <c r="D78" s="239"/>
      <c r="E78" s="239"/>
      <c r="F78" s="239"/>
      <c r="G78" s="239"/>
      <c r="H78" s="257"/>
    </row>
    <row r="79" spans="2:8" ht="34.5" x14ac:dyDescent="0.25">
      <c r="B79" s="256"/>
      <c r="C79" s="244"/>
      <c r="D79" s="238" t="s">
        <v>42</v>
      </c>
      <c r="E79" s="239"/>
      <c r="F79" s="239"/>
      <c r="G79" s="239"/>
      <c r="H79" s="257"/>
    </row>
    <row r="80" spans="2:8" ht="18" thickBot="1" x14ac:dyDescent="0.3">
      <c r="B80" s="256"/>
      <c r="C80" s="244"/>
      <c r="D80" s="239"/>
      <c r="E80" s="239"/>
      <c r="F80" s="239"/>
      <c r="G80" s="239"/>
      <c r="H80" s="257"/>
    </row>
    <row r="81" spans="2:8" ht="18" thickBot="1" x14ac:dyDescent="0.3">
      <c r="B81" s="256"/>
      <c r="C81" s="244"/>
      <c r="D81" s="240">
        <f>+IF(F55=J11,0,IF(F53="MAQUINARIA",IF(D25="SI",0,VLOOKUP(D17,'RENDIMIENTOS Y TARIFAS'!A3:C15,2,0)*D29),0))</f>
        <v>583838.72820000001</v>
      </c>
      <c r="E81" s="239"/>
      <c r="F81" s="239"/>
      <c r="G81" s="239"/>
      <c r="H81" s="257"/>
    </row>
    <row r="82" spans="2:8" x14ac:dyDescent="0.25">
      <c r="B82" s="256"/>
      <c r="C82" s="244"/>
      <c r="D82" s="239"/>
      <c r="E82" s="239"/>
      <c r="F82" s="239"/>
      <c r="G82" s="239"/>
      <c r="H82" s="257"/>
    </row>
    <row r="83" spans="2:8" ht="51.75" x14ac:dyDescent="0.25">
      <c r="B83" s="256"/>
      <c r="C83" s="244"/>
      <c r="D83" s="238" t="s">
        <v>41</v>
      </c>
      <c r="E83" s="239"/>
      <c r="F83" s="239"/>
      <c r="G83" s="239"/>
      <c r="H83" s="257"/>
    </row>
    <row r="84" spans="2:8" ht="18" thickBot="1" x14ac:dyDescent="0.3">
      <c r="B84" s="256"/>
      <c r="C84" s="244"/>
      <c r="D84" s="264"/>
      <c r="E84" s="239"/>
      <c r="F84" s="239"/>
      <c r="G84" s="239"/>
      <c r="H84" s="257"/>
    </row>
    <row r="85" spans="2:8" ht="18" thickBot="1" x14ac:dyDescent="0.3">
      <c r="B85" s="256"/>
      <c r="C85" s="244"/>
      <c r="D85" s="240">
        <f>+IF(D25="SI",0,IF(F53="MAQUINARIA",VLOOKUP(F57,'RENDIMIENTOS Y TARIFAS'!I3:K19,3,0)*'COSTOS POR ATEL'!F60*D29,0))</f>
        <v>0</v>
      </c>
      <c r="E85" s="239"/>
      <c r="F85" s="239"/>
      <c r="G85" s="239"/>
      <c r="H85" s="257"/>
    </row>
    <row r="86" spans="2:8" x14ac:dyDescent="0.25">
      <c r="B86" s="256"/>
      <c r="C86" s="244"/>
      <c r="D86" s="239"/>
      <c r="E86" s="239"/>
      <c r="F86" s="239"/>
      <c r="G86" s="239"/>
      <c r="H86" s="257"/>
    </row>
    <row r="87" spans="2:8" ht="18" thickBot="1" x14ac:dyDescent="0.3">
      <c r="B87" s="256"/>
      <c r="C87" s="244"/>
      <c r="D87" s="242" t="s">
        <v>47</v>
      </c>
      <c r="E87" s="244"/>
      <c r="F87" s="244"/>
      <c r="G87" s="242" t="s">
        <v>47</v>
      </c>
      <c r="H87" s="257"/>
    </row>
    <row r="88" spans="2:8" ht="18.75" thickTop="1" thickBot="1" x14ac:dyDescent="0.3">
      <c r="B88" s="256"/>
      <c r="C88" s="244"/>
      <c r="D88" s="243"/>
      <c r="E88" s="244"/>
      <c r="F88" s="244"/>
      <c r="G88" s="244"/>
      <c r="H88" s="257"/>
    </row>
    <row r="89" spans="2:8" ht="18" thickBot="1" x14ac:dyDescent="0.3">
      <c r="B89" s="256"/>
      <c r="C89" s="244"/>
      <c r="D89" s="245">
        <f>+D85+D81+D69+D65+D73+D77</f>
        <v>875758.09230000002</v>
      </c>
      <c r="E89" s="244"/>
      <c r="F89" s="244"/>
      <c r="G89" s="245">
        <f>+G73+G69+G65</f>
        <v>0</v>
      </c>
      <c r="H89" s="257"/>
    </row>
    <row r="90" spans="2:8" ht="18" thickBot="1" x14ac:dyDescent="0.3">
      <c r="B90" s="256"/>
      <c r="C90" s="244"/>
      <c r="D90" s="239"/>
      <c r="E90" s="239"/>
      <c r="F90" s="239"/>
      <c r="G90" s="239"/>
      <c r="H90" s="257"/>
    </row>
    <row r="91" spans="2:8" x14ac:dyDescent="0.25">
      <c r="B91" s="252"/>
      <c r="C91" s="253"/>
      <c r="D91" s="360" t="s">
        <v>344</v>
      </c>
      <c r="E91" s="360"/>
      <c r="F91" s="360"/>
      <c r="G91" s="360"/>
      <c r="H91" s="255"/>
    </row>
    <row r="92" spans="2:8" x14ac:dyDescent="0.25">
      <c r="B92" s="256"/>
      <c r="C92" s="244"/>
      <c r="D92" s="239"/>
      <c r="E92" s="239"/>
      <c r="F92" s="239"/>
      <c r="G92" s="239"/>
      <c r="H92" s="257"/>
    </row>
    <row r="93" spans="2:8" ht="61.5" customHeight="1" x14ac:dyDescent="0.25">
      <c r="B93" s="256"/>
      <c r="C93" s="244"/>
      <c r="D93" s="368" t="s">
        <v>265</v>
      </c>
      <c r="E93" s="369"/>
      <c r="F93" s="369"/>
      <c r="G93" s="370"/>
      <c r="H93" s="257"/>
    </row>
    <row r="94" spans="2:8" x14ac:dyDescent="0.25">
      <c r="B94" s="256"/>
      <c r="C94" s="244"/>
      <c r="D94" s="239"/>
      <c r="E94" s="239"/>
      <c r="F94" s="239"/>
      <c r="G94" s="239"/>
      <c r="H94" s="257"/>
    </row>
    <row r="95" spans="2:8" ht="31.5" customHeight="1" x14ac:dyDescent="0.25">
      <c r="B95" s="256"/>
      <c r="C95" s="266" t="s">
        <v>141</v>
      </c>
      <c r="D95" s="232" t="s">
        <v>263</v>
      </c>
      <c r="E95" s="244"/>
      <c r="F95" s="244"/>
      <c r="G95" s="244"/>
      <c r="H95" s="257"/>
    </row>
    <row r="96" spans="2:8" ht="18" thickBot="1" x14ac:dyDescent="0.3">
      <c r="B96" s="256"/>
      <c r="C96" s="244"/>
      <c r="D96" s="244"/>
      <c r="E96" s="244"/>
      <c r="F96" s="244"/>
      <c r="G96" s="244"/>
      <c r="H96" s="257"/>
    </row>
    <row r="97" spans="2:8" ht="18" thickBot="1" x14ac:dyDescent="0.3">
      <c r="B97" s="256"/>
      <c r="C97" s="244"/>
      <c r="D97" s="199" t="s">
        <v>15</v>
      </c>
      <c r="E97" s="244"/>
      <c r="F97" s="262" t="s">
        <v>195</v>
      </c>
      <c r="G97" s="232" t="s">
        <v>264</v>
      </c>
      <c r="H97" s="257"/>
    </row>
    <row r="98" spans="2:8" ht="35.25" thickBot="1" x14ac:dyDescent="0.3">
      <c r="B98" s="256"/>
      <c r="C98" s="244"/>
      <c r="D98" s="241" t="s">
        <v>48</v>
      </c>
      <c r="E98" s="244"/>
      <c r="F98" s="244"/>
      <c r="G98" s="244"/>
      <c r="H98" s="257"/>
    </row>
    <row r="99" spans="2:8" ht="35.25" thickBot="1" x14ac:dyDescent="0.3">
      <c r="B99" s="256"/>
      <c r="C99" s="266" t="s">
        <v>142</v>
      </c>
      <c r="D99" s="232" t="s">
        <v>244</v>
      </c>
      <c r="E99" s="244" t="s">
        <v>20</v>
      </c>
      <c r="F99" s="244"/>
      <c r="G99" s="198">
        <v>3</v>
      </c>
      <c r="H99" s="257"/>
    </row>
    <row r="100" spans="2:8" ht="35.25" thickBot="1" x14ac:dyDescent="0.3">
      <c r="B100" s="256"/>
      <c r="C100" s="244"/>
      <c r="D100" s="244"/>
      <c r="E100" s="244"/>
      <c r="F100" s="244"/>
      <c r="G100" s="343" t="s">
        <v>247</v>
      </c>
      <c r="H100" s="257"/>
    </row>
    <row r="101" spans="2:8" ht="18" thickBot="1" x14ac:dyDescent="0.3">
      <c r="B101" s="256"/>
      <c r="C101" s="244"/>
      <c r="D101" s="199">
        <v>12938012</v>
      </c>
      <c r="E101" s="244" t="s">
        <v>20</v>
      </c>
      <c r="F101" s="244"/>
      <c r="G101" s="267"/>
      <c r="H101" s="257"/>
    </row>
    <row r="102" spans="2:8" x14ac:dyDescent="0.25">
      <c r="B102" s="256"/>
      <c r="C102" s="244"/>
      <c r="D102" s="244"/>
      <c r="E102" s="244"/>
      <c r="F102" s="244"/>
      <c r="G102" s="244"/>
      <c r="H102" s="257"/>
    </row>
    <row r="103" spans="2:8" x14ac:dyDescent="0.25">
      <c r="B103" s="256"/>
      <c r="C103" s="262" t="s">
        <v>143</v>
      </c>
      <c r="D103" s="231" t="s">
        <v>138</v>
      </c>
      <c r="E103" s="244" t="s">
        <v>20</v>
      </c>
      <c r="F103" s="244"/>
      <c r="G103" s="244"/>
      <c r="H103" s="257"/>
    </row>
    <row r="104" spans="2:8" ht="18" thickBot="1" x14ac:dyDescent="0.3">
      <c r="B104" s="256"/>
      <c r="C104" s="244"/>
      <c r="D104" s="244"/>
      <c r="E104" s="244"/>
      <c r="F104" s="244"/>
      <c r="G104" s="244"/>
      <c r="H104" s="257"/>
    </row>
    <row r="105" spans="2:8" ht="18" thickBot="1" x14ac:dyDescent="0.3">
      <c r="B105" s="256"/>
      <c r="C105" s="244"/>
      <c r="D105" s="198" t="s">
        <v>139</v>
      </c>
      <c r="E105" s="244" t="s">
        <v>20</v>
      </c>
      <c r="F105" s="244"/>
      <c r="G105" s="244"/>
      <c r="H105" s="257"/>
    </row>
    <row r="106" spans="2:8" ht="18" thickBot="1" x14ac:dyDescent="0.3">
      <c r="B106" s="259"/>
      <c r="C106" s="250"/>
      <c r="D106" s="249"/>
      <c r="E106" s="249"/>
      <c r="F106" s="249"/>
      <c r="G106" s="249"/>
      <c r="H106" s="353"/>
    </row>
    <row r="107" spans="2:8" x14ac:dyDescent="0.25">
      <c r="B107" s="252"/>
      <c r="C107" s="253"/>
      <c r="D107" s="268"/>
      <c r="E107" s="268"/>
      <c r="F107" s="268"/>
      <c r="G107" s="268"/>
      <c r="H107" s="255"/>
    </row>
    <row r="108" spans="2:8" ht="34.5" x14ac:dyDescent="0.25">
      <c r="B108" s="256"/>
      <c r="C108" s="244"/>
      <c r="D108" s="233" t="s">
        <v>252</v>
      </c>
      <c r="E108" s="244"/>
      <c r="F108" s="244"/>
      <c r="G108" s="233" t="s">
        <v>267</v>
      </c>
      <c r="H108" s="257"/>
    </row>
    <row r="109" spans="2:8" ht="18" thickBot="1" x14ac:dyDescent="0.3">
      <c r="B109" s="256"/>
      <c r="C109" s="244"/>
      <c r="D109" s="244"/>
      <c r="E109" s="244"/>
      <c r="F109" s="244"/>
      <c r="G109" s="244"/>
      <c r="H109" s="257"/>
    </row>
    <row r="110" spans="2:8" ht="18" thickBot="1" x14ac:dyDescent="0.3">
      <c r="B110" s="256"/>
      <c r="C110" s="244"/>
      <c r="D110" s="246">
        <f>+IF(D105="NO",0,ROUND(D101/30,1))</f>
        <v>431267.1</v>
      </c>
      <c r="E110" s="244"/>
      <c r="F110" s="244"/>
      <c r="G110" s="246">
        <f>ROUND(+D110*30*G99/360,1)</f>
        <v>107816.8</v>
      </c>
      <c r="H110" s="257"/>
    </row>
    <row r="111" spans="2:8" ht="35.25" thickBot="1" x14ac:dyDescent="0.3">
      <c r="B111" s="256"/>
      <c r="C111" s="244"/>
      <c r="D111" s="241" t="s">
        <v>266</v>
      </c>
      <c r="E111" s="244"/>
      <c r="F111" s="244"/>
      <c r="G111" s="244"/>
      <c r="H111" s="257"/>
    </row>
    <row r="112" spans="2:8" ht="33" customHeight="1" thickBot="1" x14ac:dyDescent="0.3">
      <c r="B112" s="256"/>
      <c r="C112" s="244"/>
      <c r="D112" s="233" t="s">
        <v>253</v>
      </c>
      <c r="E112" s="247">
        <f>+IF(D105="NO",0,ROUND(G99*15/360,2))</f>
        <v>0.13</v>
      </c>
      <c r="F112" s="244"/>
      <c r="G112" s="233" t="s">
        <v>254</v>
      </c>
      <c r="H112" s="257"/>
    </row>
    <row r="113" spans="1:9" ht="18" thickBot="1" x14ac:dyDescent="0.3">
      <c r="B113" s="256"/>
      <c r="C113" s="244"/>
      <c r="D113" s="244"/>
      <c r="E113" s="244"/>
      <c r="F113" s="244"/>
      <c r="G113" s="244"/>
      <c r="H113" s="257"/>
    </row>
    <row r="114" spans="1:9" ht="35.25" thickBot="1" x14ac:dyDescent="0.3">
      <c r="B114" s="256"/>
      <c r="C114" s="244"/>
      <c r="D114" s="233" t="s">
        <v>32</v>
      </c>
      <c r="E114" s="244"/>
      <c r="F114" s="244"/>
      <c r="G114" s="246">
        <f>+ROUND(G110*0.12,1)</f>
        <v>12938</v>
      </c>
      <c r="H114" s="257"/>
    </row>
    <row r="115" spans="1:9" ht="18" thickBot="1" x14ac:dyDescent="0.3">
      <c r="B115" s="256"/>
      <c r="C115" s="244"/>
      <c r="D115" s="244"/>
      <c r="E115" s="244"/>
      <c r="F115" s="244"/>
      <c r="G115" s="236"/>
      <c r="H115" s="257"/>
    </row>
    <row r="116" spans="1:9" ht="18" thickBot="1" x14ac:dyDescent="0.3">
      <c r="B116" s="256"/>
      <c r="C116" s="244"/>
      <c r="D116" s="246">
        <f>ROUND(+D101*E112/30,1)</f>
        <v>56064.7</v>
      </c>
      <c r="E116" s="244"/>
      <c r="F116" s="244"/>
      <c r="G116" s="236"/>
      <c r="H116" s="257"/>
    </row>
    <row r="117" spans="1:9" ht="18" thickBot="1" x14ac:dyDescent="0.3">
      <c r="B117" s="256"/>
      <c r="C117" s="244"/>
      <c r="D117" s="244"/>
      <c r="E117" s="244"/>
      <c r="F117" s="244"/>
      <c r="G117" s="234" t="s">
        <v>34</v>
      </c>
      <c r="H117" s="257"/>
    </row>
    <row r="118" spans="1:9" ht="30.75" customHeight="1" thickTop="1" thickBot="1" x14ac:dyDescent="0.3">
      <c r="B118" s="256"/>
      <c r="C118" s="244"/>
      <c r="D118" s="233" t="s">
        <v>33</v>
      </c>
      <c r="E118" s="244"/>
      <c r="F118" s="244"/>
      <c r="G118" s="243"/>
      <c r="H118" s="257"/>
    </row>
    <row r="119" spans="1:9" ht="18" thickBot="1" x14ac:dyDescent="0.3">
      <c r="B119" s="256"/>
      <c r="C119" s="244"/>
      <c r="D119" s="244"/>
      <c r="E119" s="244"/>
      <c r="F119" s="244"/>
      <c r="G119" s="248">
        <f>+D120+G114+G110+D116+D110</f>
        <v>715903.39999999991</v>
      </c>
      <c r="H119" s="257"/>
    </row>
    <row r="120" spans="1:9" ht="18" thickBot="1" x14ac:dyDescent="0.3">
      <c r="B120" s="256"/>
      <c r="C120" s="244"/>
      <c r="D120" s="246">
        <f>ROUND(+D110*30*G99/360,1)</f>
        <v>107816.8</v>
      </c>
      <c r="E120" s="244"/>
      <c r="F120" s="244"/>
      <c r="G120" s="236"/>
      <c r="H120" s="257"/>
    </row>
    <row r="121" spans="1:9" ht="18" thickBot="1" x14ac:dyDescent="0.3">
      <c r="B121" s="259"/>
      <c r="C121" s="250"/>
      <c r="D121" s="249"/>
      <c r="E121" s="250"/>
      <c r="F121" s="250"/>
      <c r="G121" s="250"/>
      <c r="H121" s="353"/>
    </row>
    <row r="122" spans="1:9" x14ac:dyDescent="0.25">
      <c r="A122" s="244"/>
      <c r="B122" s="244"/>
      <c r="C122" s="244"/>
      <c r="D122" s="354"/>
      <c r="E122" s="244"/>
      <c r="F122" s="244"/>
      <c r="G122" s="267"/>
      <c r="H122" s="244"/>
      <c r="I122" s="244"/>
    </row>
    <row r="123" spans="1:9" x14ac:dyDescent="0.2">
      <c r="A123" s="244"/>
      <c r="B123" s="244"/>
      <c r="C123" s="244"/>
      <c r="D123" s="355" t="s">
        <v>351</v>
      </c>
      <c r="E123" s="244"/>
      <c r="F123" s="244"/>
      <c r="G123" s="236"/>
      <c r="H123" s="244"/>
      <c r="I123" s="244"/>
    </row>
    <row r="124" spans="1:9" x14ac:dyDescent="0.2">
      <c r="A124" s="244"/>
      <c r="B124" s="244"/>
      <c r="C124" s="244"/>
      <c r="D124" s="355" t="s">
        <v>352</v>
      </c>
      <c r="E124" s="244"/>
      <c r="F124" s="244"/>
      <c r="G124" s="356"/>
      <c r="H124" s="244"/>
      <c r="I124" s="244"/>
    </row>
    <row r="125" spans="1:9" x14ac:dyDescent="0.2">
      <c r="A125" s="244"/>
      <c r="B125" s="244"/>
      <c r="C125" s="244"/>
      <c r="D125" s="355" t="s">
        <v>353</v>
      </c>
      <c r="E125" s="244"/>
      <c r="F125" s="244"/>
      <c r="G125" s="356"/>
      <c r="H125" s="244"/>
      <c r="I125" s="244"/>
    </row>
    <row r="126" spans="1:9" x14ac:dyDescent="0.2">
      <c r="A126" s="244"/>
      <c r="B126" s="244"/>
      <c r="C126" s="244"/>
      <c r="D126" s="355" t="s">
        <v>354</v>
      </c>
      <c r="E126" s="244"/>
      <c r="F126" s="244"/>
      <c r="G126" s="344"/>
      <c r="H126" s="244"/>
      <c r="I126" s="244"/>
    </row>
    <row r="127" spans="1:9" x14ac:dyDescent="0.2">
      <c r="A127" s="244"/>
      <c r="B127" s="244"/>
      <c r="C127" s="244"/>
      <c r="D127" s="355" t="s">
        <v>355</v>
      </c>
      <c r="E127" s="244"/>
      <c r="F127" s="244"/>
      <c r="G127" s="236"/>
      <c r="H127" s="244"/>
      <c r="I127" s="244"/>
    </row>
    <row r="128" spans="1:9" x14ac:dyDescent="0.25">
      <c r="A128" s="244"/>
      <c r="B128" s="244"/>
      <c r="C128" s="244"/>
      <c r="D128" s="236"/>
      <c r="E128" s="244"/>
      <c r="F128" s="244"/>
      <c r="G128" s="357"/>
      <c r="H128" s="244"/>
      <c r="I128" s="244"/>
    </row>
    <row r="129" spans="1:9" x14ac:dyDescent="0.25">
      <c r="A129" s="244"/>
      <c r="B129" s="244"/>
      <c r="C129" s="244"/>
      <c r="D129" s="236"/>
      <c r="E129" s="244"/>
      <c r="F129" s="244"/>
      <c r="G129" s="358"/>
      <c r="H129" s="244"/>
      <c r="I129" s="244"/>
    </row>
    <row r="130" spans="1:9" x14ac:dyDescent="0.25">
      <c r="A130" s="244"/>
      <c r="B130" s="244"/>
      <c r="C130" s="244"/>
      <c r="D130" s="354"/>
      <c r="E130" s="244"/>
      <c r="F130" s="244"/>
      <c r="G130" s="358"/>
      <c r="H130" s="244"/>
      <c r="I130" s="244"/>
    </row>
    <row r="131" spans="1:9" x14ac:dyDescent="0.25">
      <c r="A131" s="244"/>
      <c r="B131" s="244"/>
      <c r="C131" s="244"/>
      <c r="D131" s="244"/>
      <c r="E131" s="244"/>
      <c r="F131" s="244"/>
      <c r="G131" s="244"/>
      <c r="H131" s="244"/>
      <c r="I131" s="244"/>
    </row>
    <row r="132" spans="1:9" x14ac:dyDescent="0.25">
      <c r="A132" s="244"/>
      <c r="B132" s="244"/>
      <c r="C132" s="244"/>
      <c r="D132" s="244"/>
      <c r="E132" s="244"/>
      <c r="F132" s="244"/>
      <c r="G132" s="244"/>
      <c r="H132" s="244"/>
      <c r="I132" s="244"/>
    </row>
  </sheetData>
  <sheetProtection algorithmName="SHA-512" hashValue="exNC77wMctUxqUoH7EnVINxgNJX2KWOWecBnNPhRmfWYBqsbfNJ4JnyIR7hvadaRk2K4a411Bmz3yDPyXr2PHw==" saltValue="F8geaD0ukgY817gWYCWn7g==" spinCount="100000" sheet="1" objects="1" scenarios="1"/>
  <mergeCells count="13">
    <mergeCell ref="G128:G130"/>
    <mergeCell ref="D51:G51"/>
    <mergeCell ref="D91:G91"/>
    <mergeCell ref="D11:G11"/>
    <mergeCell ref="D13:G13"/>
    <mergeCell ref="D34:G34"/>
    <mergeCell ref="G26:G28"/>
    <mergeCell ref="D93:G93"/>
    <mergeCell ref="F53:G53"/>
    <mergeCell ref="F57:G57"/>
    <mergeCell ref="F58:G58"/>
    <mergeCell ref="F60:G60"/>
    <mergeCell ref="F55:G55"/>
  </mergeCells>
  <conditionalFormatting sqref="D29">
    <cfRule type="expression" dxfId="36" priority="37">
      <formula>$D$25="SI"</formula>
    </cfRule>
  </conditionalFormatting>
  <conditionalFormatting sqref="G17">
    <cfRule type="expression" dxfId="35" priority="36">
      <formula>$D$25="NO"</formula>
    </cfRule>
  </conditionalFormatting>
  <conditionalFormatting sqref="G21">
    <cfRule type="expression" dxfId="34" priority="35">
      <formula>$D$25="NO"</formula>
    </cfRule>
  </conditionalFormatting>
  <conditionalFormatting sqref="G25">
    <cfRule type="expression" dxfId="33" priority="34">
      <formula>$D$25="NO"</formula>
    </cfRule>
  </conditionalFormatting>
  <conditionalFormatting sqref="G99">
    <cfRule type="expression" dxfId="32" priority="38">
      <formula>$D$105="NO"</formula>
    </cfRule>
  </conditionalFormatting>
  <conditionalFormatting sqref="D65">
    <cfRule type="expression" dxfId="31" priority="14">
      <formula>$D$25=$J$11</formula>
    </cfRule>
    <cfRule type="expression" dxfId="30" priority="28">
      <formula>$F$53="MANO DE OBRA NO CALIFICADA"</formula>
    </cfRule>
  </conditionalFormatting>
  <conditionalFormatting sqref="D69">
    <cfRule type="expression" dxfId="29" priority="13">
      <formula>$D$25=$J$11</formula>
    </cfRule>
    <cfRule type="expression" dxfId="28" priority="27">
      <formula>$F$53="MANO DE OBRA NO CALIFICADA"</formula>
    </cfRule>
  </conditionalFormatting>
  <conditionalFormatting sqref="D73">
    <cfRule type="expression" dxfId="27" priority="26">
      <formula>$F$53="MANO DE OBRA NO CALIFICADA"</formula>
    </cfRule>
  </conditionalFormatting>
  <conditionalFormatting sqref="D81">
    <cfRule type="expression" dxfId="26" priority="22">
      <formula>$D$25=$J$10</formula>
    </cfRule>
    <cfRule type="expression" dxfId="25" priority="25">
      <formula>$F$53="MANO DE OBRA NO CALIFICADA"</formula>
    </cfRule>
  </conditionalFormatting>
  <conditionalFormatting sqref="D85">
    <cfRule type="expression" dxfId="24" priority="18">
      <formula>$D$25=$J$10</formula>
    </cfRule>
    <cfRule type="expression" dxfId="23" priority="19">
      <formula>$F$53="MANO DE OBRA NO CALIFICADA"</formula>
    </cfRule>
  </conditionalFormatting>
  <conditionalFormatting sqref="D89">
    <cfRule type="expression" dxfId="22" priority="17">
      <formula>$F$53="MANO DE OBRA NO CALIFICADA"</formula>
    </cfRule>
  </conditionalFormatting>
  <conditionalFormatting sqref="D77">
    <cfRule type="expression" dxfId="21" priority="15">
      <formula>$F$53="MANO DE OBRA NO CALIFICADA"</formula>
    </cfRule>
  </conditionalFormatting>
  <conditionalFormatting sqref="G65">
    <cfRule type="expression" dxfId="20" priority="9">
      <formula>$D$25=$J$11</formula>
    </cfRule>
    <cfRule type="expression" dxfId="19" priority="10">
      <formula>$F$53="MAQUINARIA"</formula>
    </cfRule>
  </conditionalFormatting>
  <conditionalFormatting sqref="G69">
    <cfRule type="expression" dxfId="18" priority="8">
      <formula>$F$53="MAQUINARIA"</formula>
    </cfRule>
  </conditionalFormatting>
  <conditionalFormatting sqref="G73">
    <cfRule type="expression" dxfId="17" priority="5">
      <formula>$D$25=$J$10</formula>
    </cfRule>
    <cfRule type="expression" dxfId="16" priority="6">
      <formula>$F$53="MAQUINARIA"</formula>
    </cfRule>
  </conditionalFormatting>
  <conditionalFormatting sqref="G89">
    <cfRule type="expression" dxfId="15" priority="4">
      <formula>$F$53="MAQUINARIA"</formula>
    </cfRule>
  </conditionalFormatting>
  <conditionalFormatting sqref="F55:G55">
    <cfRule type="expression" dxfId="14" priority="1">
      <formula>$F$53="MANO DE OBRA NO CALIFICADA"</formula>
    </cfRule>
  </conditionalFormatting>
  <dataValidations count="9">
    <dataValidation showInputMessage="1" showErrorMessage="1" sqref="D21 D101 D107"/>
    <dataValidation type="list" showInputMessage="1" showErrorMessage="1" sqref="D25 D105:D106">
      <formula1>$J$9:$J$11</formula1>
    </dataValidation>
    <dataValidation type="custom" showInputMessage="1" showErrorMessage="1" errorTitle="No ingresar" error="!!!! Usted eligio que su ATEL tiene incapacidad, no debe ingresar horas no incapacitantes." sqref="D29">
      <formula1>D25=J11</formula1>
    </dataValidation>
    <dataValidation type="list" showInputMessage="1" showErrorMessage="1" sqref="D26">
      <formula1>#REF!</formula1>
    </dataValidation>
    <dataValidation type="custom" showInputMessage="1" showErrorMessage="1" errorTitle="No ingresar" error="!!!! Usted eligio que su ATEL no tiene incapacidad, no debe ingresar dias de incapacidad." sqref="G17">
      <formula1>$D$25=$J$10</formula1>
    </dataValidation>
    <dataValidation errorStyle="information" showInputMessage="1" showErrorMessage="1" errorTitle="No ingresar" error="!!!! Usted eligio que su ATEL no tiene incapacidad, no debe ingresar las horas que demora el colaborador en rehabilitarse de su incapacidad." sqref="G31"/>
    <dataValidation type="custom" errorStyle="information" showInputMessage="1" showErrorMessage="1" errorTitle="No ingresar" error="!!!! Usted eligio que su ATEL no tiene incapacidad, no debe ingresar dias que demora la empresa en reemplazar al colaborador." sqref="G25">
      <formula1>D25=J10</formula1>
    </dataValidation>
    <dataValidation type="custom" errorStyle="information" showInputMessage="1" showErrorMessage="1" errorTitle="No ingresar" error="!!!! Usted eligio que su ATEL no tiene incapacidad, no debe ingresar dias de incapacidad." sqref="G99">
      <formula1>D105=J10</formula1>
    </dataValidation>
    <dataValidation type="list" allowBlank="1" showInputMessage="1" showErrorMessage="1" sqref="F55:G55">
      <formula1>$J$10:$J$11</formula1>
    </dataValidation>
  </dataValidations>
  <pageMargins left="0.7" right="0.7" top="0.75" bottom="0.75" header="0.3" footer="0.3"/>
  <pageSetup scale="23" orientation="portrait" horizontalDpi="4294967293" r:id="rId1"/>
  <ignoredErrors>
    <ignoredError sqref="C15 C19 C23 F29 C55 C57 C95 C99 C103 F97" numberStoredAsText="1"/>
    <ignoredError sqref="G21 D38 D44 D48 G38 E40 G42 G47 F53 D65 D69 D73 D77 D81 D85 D89 D110 G110 G114 D116 D120 G119 E112 F60" unlockedFormula="1"/>
    <ignoredError sqref="G89 G73 G69 G65" evalError="1"/>
  </ignoredErrors>
  <drawing r:id="rId2"/>
  <extLst>
    <ext xmlns:x14="http://schemas.microsoft.com/office/spreadsheetml/2009/9/main" uri="{CCE6A557-97BC-4b89-ADB6-D9C93CAAB3DF}">
      <x14:dataValidations xmlns:xm="http://schemas.microsoft.com/office/excel/2006/main" count="3">
        <x14:dataValidation type="list" showInputMessage="1" showErrorMessage="1">
          <x14:formula1>
            <xm:f>'RENDIMIENTOS Y TARIFAS'!$A$27:$A$32</xm:f>
          </x14:formula1>
          <xm:sqref>D97</xm:sqref>
        </x14:dataValidation>
        <x14:dataValidation type="list" allowBlank="1" showInputMessage="1" showErrorMessage="1">
          <x14:formula1>
            <xm:f>'RENDIMIENTOS Y TARIFAS'!$J$35:$P$35</xm:f>
          </x14:formula1>
          <xm:sqref>F57:G57</xm:sqref>
        </x14:dataValidation>
        <x14:dataValidation type="list" showInputMessage="1" showErrorMessage="1">
          <x14:formula1>
            <xm:f>'RENDIMIENTOS Y TARIFAS'!$A$3:$A$16</xm:f>
          </x14:formula1>
          <xm:sqref>D17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7"/>
  <sheetViews>
    <sheetView topLeftCell="A6" zoomScale="80" zoomScaleNormal="80" workbookViewId="0">
      <selection activeCell="E45" sqref="E45"/>
    </sheetView>
  </sheetViews>
  <sheetFormatPr baseColWidth="10" defaultRowHeight="15" x14ac:dyDescent="0.25"/>
  <cols>
    <col min="1" max="1" width="38" bestFit="1" customWidth="1"/>
    <col min="2" max="2" width="23.140625" bestFit="1" customWidth="1"/>
    <col min="3" max="3" width="22" bestFit="1" customWidth="1"/>
    <col min="4" max="4" width="21.85546875" customWidth="1"/>
    <col min="5" max="5" width="22.28515625" customWidth="1"/>
    <col min="6" max="6" width="13.7109375" bestFit="1" customWidth="1"/>
    <col min="7" max="7" width="2.140625" customWidth="1"/>
    <col min="8" max="8" width="3.7109375" customWidth="1"/>
    <col min="9" max="9" width="48.140625" style="3" bestFit="1" customWidth="1"/>
    <col min="10" max="10" width="31.140625" style="3" customWidth="1"/>
    <col min="11" max="11" width="17.140625" customWidth="1"/>
    <col min="12" max="12" width="18.5703125" bestFit="1" customWidth="1"/>
    <col min="13" max="13" width="22.85546875" customWidth="1"/>
    <col min="20" max="20" width="44.28515625" customWidth="1"/>
    <col min="21" max="37" width="19" customWidth="1"/>
  </cols>
  <sheetData>
    <row r="1" spans="1:37" ht="60.75" thickBot="1" x14ac:dyDescent="0.35">
      <c r="A1" s="382" t="s">
        <v>49</v>
      </c>
      <c r="B1" s="383"/>
      <c r="C1" s="383"/>
      <c r="D1" s="383"/>
      <c r="E1" s="383"/>
      <c r="F1" s="384"/>
      <c r="I1" s="377" t="s">
        <v>50</v>
      </c>
      <c r="J1" s="378"/>
      <c r="K1" s="378"/>
      <c r="L1" s="378"/>
      <c r="M1" s="378"/>
      <c r="N1" s="378"/>
      <c r="O1" s="378"/>
      <c r="P1" s="379"/>
      <c r="T1" s="121"/>
      <c r="U1" s="125" t="s">
        <v>219</v>
      </c>
      <c r="V1" s="126" t="s">
        <v>18</v>
      </c>
      <c r="W1" s="126" t="s">
        <v>179</v>
      </c>
      <c r="X1" s="126" t="s">
        <v>222</v>
      </c>
      <c r="Y1" s="126" t="s">
        <v>175</v>
      </c>
      <c r="Z1" s="126" t="s">
        <v>176</v>
      </c>
      <c r="AA1" s="126" t="s">
        <v>177</v>
      </c>
      <c r="AB1" s="126" t="s">
        <v>178</v>
      </c>
      <c r="AC1" s="126" t="s">
        <v>180</v>
      </c>
      <c r="AD1" s="126" t="s">
        <v>223</v>
      </c>
      <c r="AE1" s="126" t="s">
        <v>221</v>
      </c>
      <c r="AF1" s="126" t="s">
        <v>220</v>
      </c>
      <c r="AG1" s="127" t="s">
        <v>166</v>
      </c>
      <c r="AH1" s="127" t="s">
        <v>167</v>
      </c>
      <c r="AI1" s="127" t="s">
        <v>169</v>
      </c>
      <c r="AJ1" s="127" t="s">
        <v>170</v>
      </c>
      <c r="AK1" s="128" t="s">
        <v>168</v>
      </c>
    </row>
    <row r="2" spans="1:37" ht="45" x14ac:dyDescent="0.25">
      <c r="A2" s="116" t="s">
        <v>4</v>
      </c>
      <c r="B2" s="117" t="s">
        <v>0</v>
      </c>
      <c r="C2" s="117" t="s">
        <v>37</v>
      </c>
      <c r="D2" s="117" t="s">
        <v>39</v>
      </c>
      <c r="E2" s="117" t="s">
        <v>40</v>
      </c>
      <c r="F2" s="118" t="s">
        <v>163</v>
      </c>
      <c r="I2" s="67" t="s">
        <v>19</v>
      </c>
      <c r="J2" s="68" t="s">
        <v>171</v>
      </c>
      <c r="K2" s="69" t="s">
        <v>35</v>
      </c>
      <c r="L2" s="69" t="s">
        <v>45</v>
      </c>
      <c r="M2" s="69" t="s">
        <v>46</v>
      </c>
      <c r="N2" s="69" t="s">
        <v>89</v>
      </c>
      <c r="O2" s="69" t="s">
        <v>90</v>
      </c>
      <c r="P2" s="70" t="s">
        <v>91</v>
      </c>
      <c r="T2" s="122" t="s">
        <v>150</v>
      </c>
      <c r="U2" s="158">
        <v>15</v>
      </c>
      <c r="V2" s="159">
        <v>0</v>
      </c>
      <c r="W2" s="160">
        <v>0</v>
      </c>
      <c r="X2" s="160">
        <v>0</v>
      </c>
      <c r="Y2" s="160">
        <v>0</v>
      </c>
      <c r="Z2" s="160">
        <v>0</v>
      </c>
      <c r="AA2" s="160">
        <v>0</v>
      </c>
      <c r="AB2" s="160">
        <v>0</v>
      </c>
      <c r="AC2" s="160">
        <v>250</v>
      </c>
      <c r="AD2" s="160">
        <v>0</v>
      </c>
      <c r="AE2" s="160">
        <v>0</v>
      </c>
      <c r="AF2" s="160">
        <v>0</v>
      </c>
      <c r="AG2" s="160">
        <v>0</v>
      </c>
      <c r="AH2" s="160">
        <v>0</v>
      </c>
      <c r="AI2" s="160">
        <v>0</v>
      </c>
      <c r="AJ2" s="160">
        <v>0</v>
      </c>
      <c r="AK2" s="161">
        <v>0</v>
      </c>
    </row>
    <row r="3" spans="1:37" x14ac:dyDescent="0.25">
      <c r="A3" s="92" t="s">
        <v>150</v>
      </c>
      <c r="B3" s="93">
        <f>55803*1.0409*1.0575</f>
        <v>61425.249905249999</v>
      </c>
      <c r="C3" s="93">
        <f t="shared" ref="C3:C12" si="0">+B3*9.6</f>
        <v>589682.39909039997</v>
      </c>
      <c r="D3" s="94"/>
      <c r="E3" s="94"/>
      <c r="F3" s="114" t="s">
        <v>21</v>
      </c>
      <c r="I3" s="102" t="s">
        <v>219</v>
      </c>
      <c r="J3" s="103" t="s">
        <v>172</v>
      </c>
      <c r="K3" s="104">
        <v>18479</v>
      </c>
      <c r="L3" s="14"/>
      <c r="M3" s="14"/>
      <c r="N3" s="27"/>
      <c r="O3" s="27"/>
      <c r="P3" s="36"/>
      <c r="T3" s="123" t="s">
        <v>151</v>
      </c>
      <c r="U3" s="153">
        <v>20</v>
      </c>
      <c r="V3" s="154">
        <v>0</v>
      </c>
      <c r="W3" s="155">
        <v>0</v>
      </c>
      <c r="X3" s="155">
        <v>0</v>
      </c>
      <c r="Y3" s="155">
        <v>0</v>
      </c>
      <c r="Z3" s="155">
        <v>0</v>
      </c>
      <c r="AA3" s="155">
        <v>0</v>
      </c>
      <c r="AB3" s="155">
        <v>2</v>
      </c>
      <c r="AC3" s="155">
        <v>0</v>
      </c>
      <c r="AD3" s="155">
        <v>0</v>
      </c>
      <c r="AE3" s="155">
        <v>0</v>
      </c>
      <c r="AF3" s="155">
        <v>0</v>
      </c>
      <c r="AG3" s="155">
        <v>0</v>
      </c>
      <c r="AH3" s="155">
        <v>0</v>
      </c>
      <c r="AI3" s="155">
        <v>0</v>
      </c>
      <c r="AJ3" s="155">
        <v>0</v>
      </c>
      <c r="AK3" s="156">
        <v>0</v>
      </c>
    </row>
    <row r="4" spans="1:37" x14ac:dyDescent="0.25">
      <c r="A4" s="92" t="s">
        <v>151</v>
      </c>
      <c r="B4" s="93">
        <f>104975*1.0409*1.0575</f>
        <v>115551.41495625001</v>
      </c>
      <c r="C4" s="93">
        <f t="shared" si="0"/>
        <v>1109293.5835800001</v>
      </c>
      <c r="D4" s="94"/>
      <c r="E4" s="94"/>
      <c r="F4" s="114" t="s">
        <v>21</v>
      </c>
      <c r="I4" s="105" t="s">
        <v>18</v>
      </c>
      <c r="J4" s="103" t="s">
        <v>172</v>
      </c>
      <c r="K4" s="104">
        <v>43707</v>
      </c>
      <c r="L4" s="14"/>
      <c r="M4" s="14"/>
      <c r="N4" s="27"/>
      <c r="O4" s="27"/>
      <c r="P4" s="36"/>
      <c r="T4" s="123" t="s">
        <v>152</v>
      </c>
      <c r="U4" s="153">
        <v>0</v>
      </c>
      <c r="V4" s="154">
        <v>0</v>
      </c>
      <c r="W4" s="155">
        <v>15</v>
      </c>
      <c r="X4" s="155">
        <v>0</v>
      </c>
      <c r="Y4" s="155">
        <v>15</v>
      </c>
      <c r="Z4" s="155">
        <v>0</v>
      </c>
      <c r="AA4" s="155">
        <v>0</v>
      </c>
      <c r="AB4" s="155">
        <v>0</v>
      </c>
      <c r="AC4" s="155">
        <v>0</v>
      </c>
      <c r="AD4" s="155">
        <v>0</v>
      </c>
      <c r="AE4" s="155">
        <v>0</v>
      </c>
      <c r="AF4" s="155">
        <v>0</v>
      </c>
      <c r="AG4" s="155">
        <v>0</v>
      </c>
      <c r="AH4" s="155">
        <v>0</v>
      </c>
      <c r="AI4" s="155">
        <v>0</v>
      </c>
      <c r="AJ4" s="155">
        <v>0</v>
      </c>
      <c r="AK4" s="156">
        <v>0</v>
      </c>
    </row>
    <row r="5" spans="1:37" ht="30" x14ac:dyDescent="0.25">
      <c r="A5" s="92" t="s">
        <v>152</v>
      </c>
      <c r="B5" s="93">
        <f>60000*1.0409*1.0575</f>
        <v>66045.104999999996</v>
      </c>
      <c r="C5" s="93">
        <f t="shared" si="0"/>
        <v>634033.00799999991</v>
      </c>
      <c r="D5" s="94"/>
      <c r="E5" s="94"/>
      <c r="F5" s="114" t="s">
        <v>21</v>
      </c>
      <c r="I5" s="105" t="s">
        <v>179</v>
      </c>
      <c r="J5" s="103" t="s">
        <v>172</v>
      </c>
      <c r="K5" s="104">
        <v>19114</v>
      </c>
      <c r="L5" s="14"/>
      <c r="M5" s="14"/>
      <c r="N5" s="27"/>
      <c r="O5" s="27"/>
      <c r="P5" s="36"/>
      <c r="T5" s="123" t="s">
        <v>153</v>
      </c>
      <c r="U5" s="153">
        <v>0</v>
      </c>
      <c r="V5" s="154">
        <v>0</v>
      </c>
      <c r="W5" s="155">
        <v>0</v>
      </c>
      <c r="X5" s="155">
        <v>0</v>
      </c>
      <c r="Y5" s="155">
        <v>0</v>
      </c>
      <c r="Z5" s="155">
        <v>0</v>
      </c>
      <c r="AA5" s="155">
        <v>0</v>
      </c>
      <c r="AB5" s="155">
        <v>0</v>
      </c>
      <c r="AC5" s="155">
        <v>250</v>
      </c>
      <c r="AD5" s="155">
        <v>0</v>
      </c>
      <c r="AE5" s="155">
        <v>0</v>
      </c>
      <c r="AF5" s="155">
        <v>0</v>
      </c>
      <c r="AG5" s="155">
        <v>0</v>
      </c>
      <c r="AH5" s="155">
        <v>0</v>
      </c>
      <c r="AI5" s="155">
        <v>0</v>
      </c>
      <c r="AJ5" s="155">
        <v>0</v>
      </c>
      <c r="AK5" s="156">
        <v>0</v>
      </c>
    </row>
    <row r="6" spans="1:37" x14ac:dyDescent="0.25">
      <c r="A6" s="96" t="s">
        <v>153</v>
      </c>
      <c r="B6" s="97">
        <f>484101*1.0409*1.0575</f>
        <v>532875.02292675001</v>
      </c>
      <c r="C6" s="97">
        <f t="shared" si="0"/>
        <v>5115600.2200967995</v>
      </c>
      <c r="D6" s="98"/>
      <c r="E6" s="98"/>
      <c r="F6" s="115" t="s">
        <v>21</v>
      </c>
      <c r="I6" s="105" t="s">
        <v>222</v>
      </c>
      <c r="J6" s="103" t="s">
        <v>172</v>
      </c>
      <c r="K6" s="104">
        <v>64426</v>
      </c>
      <c r="L6" s="14"/>
      <c r="M6" s="14"/>
      <c r="N6" s="27"/>
      <c r="O6" s="27"/>
      <c r="P6" s="36"/>
      <c r="T6" s="123" t="s">
        <v>154</v>
      </c>
      <c r="U6" s="153">
        <v>0</v>
      </c>
      <c r="V6" s="154">
        <v>0</v>
      </c>
      <c r="W6" s="155">
        <v>0</v>
      </c>
      <c r="X6" s="155">
        <v>30</v>
      </c>
      <c r="Y6" s="155">
        <v>0</v>
      </c>
      <c r="Z6" s="155">
        <v>25</v>
      </c>
      <c r="AA6" s="155">
        <v>20</v>
      </c>
      <c r="AB6" s="155">
        <v>0</v>
      </c>
      <c r="AC6" s="155">
        <v>0</v>
      </c>
      <c r="AD6" s="155">
        <v>0</v>
      </c>
      <c r="AE6" s="155">
        <v>30</v>
      </c>
      <c r="AF6" s="155">
        <v>0</v>
      </c>
      <c r="AG6" s="155">
        <v>0</v>
      </c>
      <c r="AH6" s="155">
        <v>0</v>
      </c>
      <c r="AI6" s="155">
        <v>0</v>
      </c>
      <c r="AJ6" s="155">
        <v>0</v>
      </c>
      <c r="AK6" s="156">
        <v>0</v>
      </c>
    </row>
    <row r="7" spans="1:37" x14ac:dyDescent="0.25">
      <c r="A7" s="96" t="s">
        <v>154</v>
      </c>
      <c r="B7" s="97">
        <f>99450*1.0409*1.0575</f>
        <v>109469.7615375</v>
      </c>
      <c r="C7" s="97">
        <f t="shared" si="0"/>
        <v>1050909.7107599999</v>
      </c>
      <c r="D7" s="98"/>
      <c r="E7" s="98"/>
      <c r="F7" s="115" t="s">
        <v>21</v>
      </c>
      <c r="I7" s="105" t="s">
        <v>175</v>
      </c>
      <c r="J7" s="103" t="s">
        <v>172</v>
      </c>
      <c r="K7" s="104">
        <v>75670</v>
      </c>
      <c r="L7" s="14"/>
      <c r="M7" s="14"/>
      <c r="N7" s="27"/>
      <c r="O7" s="27"/>
      <c r="P7" s="36"/>
      <c r="T7" s="123" t="s">
        <v>155</v>
      </c>
      <c r="U7" s="153">
        <v>0</v>
      </c>
      <c r="V7" s="154">
        <v>0</v>
      </c>
      <c r="W7" s="155">
        <v>0</v>
      </c>
      <c r="X7" s="155">
        <v>30</v>
      </c>
      <c r="Y7" s="155">
        <v>0</v>
      </c>
      <c r="Z7" s="155">
        <v>25</v>
      </c>
      <c r="AA7" s="155">
        <v>20</v>
      </c>
      <c r="AB7" s="155">
        <v>0</v>
      </c>
      <c r="AC7" s="155">
        <v>0</v>
      </c>
      <c r="AD7" s="155">
        <v>0</v>
      </c>
      <c r="AE7" s="155">
        <v>0</v>
      </c>
      <c r="AF7" s="155">
        <v>0</v>
      </c>
      <c r="AG7" s="155">
        <v>0</v>
      </c>
      <c r="AH7" s="155">
        <v>0</v>
      </c>
      <c r="AI7" s="155">
        <v>0</v>
      </c>
      <c r="AJ7" s="155">
        <v>0</v>
      </c>
      <c r="AK7" s="156">
        <v>0</v>
      </c>
    </row>
    <row r="8" spans="1:37" x14ac:dyDescent="0.25">
      <c r="A8" s="96" t="s">
        <v>155</v>
      </c>
      <c r="B8" s="97">
        <f>132600*1.0409*1.0575</f>
        <v>145959.68205</v>
      </c>
      <c r="C8" s="97">
        <f t="shared" si="0"/>
        <v>1401212.94768</v>
      </c>
      <c r="D8" s="98"/>
      <c r="E8" s="98"/>
      <c r="F8" s="115" t="s">
        <v>21</v>
      </c>
      <c r="I8" s="105" t="s">
        <v>176</v>
      </c>
      <c r="J8" s="103" t="s">
        <v>172</v>
      </c>
      <c r="K8" s="104">
        <v>115473</v>
      </c>
      <c r="L8" s="14"/>
      <c r="M8" s="14"/>
      <c r="N8" s="27"/>
      <c r="O8" s="27"/>
      <c r="P8" s="36"/>
      <c r="T8" s="123" t="s">
        <v>156</v>
      </c>
      <c r="U8" s="153">
        <v>0</v>
      </c>
      <c r="V8" s="154">
        <v>0</v>
      </c>
      <c r="W8" s="155">
        <v>0</v>
      </c>
      <c r="X8" s="155">
        <v>0</v>
      </c>
      <c r="Y8" s="155">
        <v>0</v>
      </c>
      <c r="Z8" s="155">
        <v>0</v>
      </c>
      <c r="AA8" s="155">
        <v>0</v>
      </c>
      <c r="AB8" s="155">
        <v>0</v>
      </c>
      <c r="AC8" s="155">
        <v>0</v>
      </c>
      <c r="AD8" s="155">
        <v>0</v>
      </c>
      <c r="AE8" s="155">
        <v>30</v>
      </c>
      <c r="AF8" s="155">
        <v>0</v>
      </c>
      <c r="AG8" s="155">
        <v>0</v>
      </c>
      <c r="AH8" s="155">
        <v>0</v>
      </c>
      <c r="AI8" s="155">
        <v>0</v>
      </c>
      <c r="AJ8" s="155">
        <v>0</v>
      </c>
      <c r="AK8" s="156">
        <v>0</v>
      </c>
    </row>
    <row r="9" spans="1:37" x14ac:dyDescent="0.25">
      <c r="A9" s="96" t="s">
        <v>156</v>
      </c>
      <c r="B9" s="97">
        <f>202084*1.0409*1.0575</f>
        <v>222444.316647</v>
      </c>
      <c r="C9" s="97">
        <f t="shared" si="0"/>
        <v>2135465.4398111999</v>
      </c>
      <c r="D9" s="98"/>
      <c r="E9" s="98"/>
      <c r="F9" s="115" t="s">
        <v>21</v>
      </c>
      <c r="I9" s="105" t="s">
        <v>177</v>
      </c>
      <c r="J9" s="103" t="s">
        <v>172</v>
      </c>
      <c r="K9" s="104">
        <v>125771</v>
      </c>
      <c r="L9" s="14"/>
      <c r="M9" s="14"/>
      <c r="N9" s="27"/>
      <c r="O9" s="27"/>
      <c r="P9" s="36"/>
      <c r="T9" s="123" t="s">
        <v>157</v>
      </c>
      <c r="U9" s="153">
        <v>0</v>
      </c>
      <c r="V9" s="154">
        <v>0</v>
      </c>
      <c r="W9" s="155">
        <v>0</v>
      </c>
      <c r="X9" s="155">
        <v>0</v>
      </c>
      <c r="Y9" s="155">
        <v>0</v>
      </c>
      <c r="Z9" s="155">
        <v>0</v>
      </c>
      <c r="AA9" s="155">
        <v>0</v>
      </c>
      <c r="AB9" s="155">
        <v>0</v>
      </c>
      <c r="AC9" s="155">
        <v>0</v>
      </c>
      <c r="AD9" s="155">
        <v>0</v>
      </c>
      <c r="AE9" s="155">
        <v>30</v>
      </c>
      <c r="AF9" s="155">
        <v>0</v>
      </c>
      <c r="AG9" s="155">
        <v>0</v>
      </c>
      <c r="AH9" s="155">
        <v>0</v>
      </c>
      <c r="AI9" s="155">
        <v>0</v>
      </c>
      <c r="AJ9" s="178">
        <v>0</v>
      </c>
      <c r="AK9" s="156">
        <v>0</v>
      </c>
    </row>
    <row r="10" spans="1:37" x14ac:dyDescent="0.25">
      <c r="A10" s="96" t="s">
        <v>157</v>
      </c>
      <c r="B10" s="97">
        <f>108745*1.0409*1.0575</f>
        <v>119701.24905375</v>
      </c>
      <c r="C10" s="97">
        <f t="shared" si="0"/>
        <v>1149131.990916</v>
      </c>
      <c r="D10" s="98"/>
      <c r="E10" s="98"/>
      <c r="F10" s="115" t="s">
        <v>21</v>
      </c>
      <c r="I10" s="105" t="s">
        <v>178</v>
      </c>
      <c r="J10" s="103" t="s">
        <v>172</v>
      </c>
      <c r="K10" s="104">
        <v>152777</v>
      </c>
      <c r="L10" s="14"/>
      <c r="M10" s="14"/>
      <c r="N10" s="27"/>
      <c r="O10" s="27"/>
      <c r="P10" s="36"/>
      <c r="T10" s="123" t="s">
        <v>158</v>
      </c>
      <c r="U10" s="153">
        <v>0</v>
      </c>
      <c r="V10" s="154">
        <v>0</v>
      </c>
      <c r="W10" s="155">
        <v>0</v>
      </c>
      <c r="X10" s="155">
        <v>0</v>
      </c>
      <c r="Y10" s="155">
        <v>0</v>
      </c>
      <c r="Z10" s="155">
        <v>0</v>
      </c>
      <c r="AA10" s="155">
        <v>0</v>
      </c>
      <c r="AB10" s="155">
        <v>0</v>
      </c>
      <c r="AC10" s="155">
        <v>0</v>
      </c>
      <c r="AD10" s="155">
        <v>0</v>
      </c>
      <c r="AE10" s="155">
        <v>0</v>
      </c>
      <c r="AF10" s="155">
        <v>500</v>
      </c>
      <c r="AG10" s="155">
        <v>0</v>
      </c>
      <c r="AH10" s="155">
        <v>0</v>
      </c>
      <c r="AI10" s="155">
        <v>0</v>
      </c>
      <c r="AJ10" s="178">
        <v>0</v>
      </c>
      <c r="AK10" s="156">
        <v>0</v>
      </c>
    </row>
    <row r="11" spans="1:37" x14ac:dyDescent="0.25">
      <c r="A11" s="99" t="s">
        <v>158</v>
      </c>
      <c r="B11" s="100">
        <f>83897*1.0409*1.0575</f>
        <v>92349.769569750002</v>
      </c>
      <c r="C11" s="97">
        <f t="shared" si="0"/>
        <v>886557.7878696</v>
      </c>
      <c r="D11" s="101"/>
      <c r="E11" s="98"/>
      <c r="F11" s="115" t="s">
        <v>21</v>
      </c>
      <c r="I11" s="105" t="s">
        <v>180</v>
      </c>
      <c r="J11" s="103" t="s">
        <v>174</v>
      </c>
      <c r="K11" s="104">
        <v>5366</v>
      </c>
      <c r="L11" s="14"/>
      <c r="M11" s="14"/>
      <c r="N11" s="27"/>
      <c r="O11" s="27"/>
      <c r="P11" s="36"/>
      <c r="T11" s="123" t="s">
        <v>159</v>
      </c>
      <c r="U11" s="153">
        <v>15</v>
      </c>
      <c r="V11" s="177">
        <v>0</v>
      </c>
      <c r="W11" s="155">
        <v>0</v>
      </c>
      <c r="X11" s="155">
        <v>15</v>
      </c>
      <c r="Y11" s="155">
        <v>15</v>
      </c>
      <c r="Z11" s="155">
        <v>15</v>
      </c>
      <c r="AA11" s="155">
        <v>15</v>
      </c>
      <c r="AB11" s="155">
        <v>0</v>
      </c>
      <c r="AC11" s="155">
        <v>150</v>
      </c>
      <c r="AD11" s="155">
        <v>0</v>
      </c>
      <c r="AE11" s="155">
        <v>15</v>
      </c>
      <c r="AF11" s="155">
        <v>0</v>
      </c>
      <c r="AG11" s="155">
        <v>0</v>
      </c>
      <c r="AH11" s="155">
        <v>0</v>
      </c>
      <c r="AI11" s="155">
        <v>0</v>
      </c>
      <c r="AJ11" s="178">
        <v>0</v>
      </c>
      <c r="AK11" s="156">
        <v>0</v>
      </c>
    </row>
    <row r="12" spans="1:37" x14ac:dyDescent="0.25">
      <c r="A12" s="92" t="s">
        <v>159</v>
      </c>
      <c r="B12" s="93">
        <f>54145*1.0409*1.0575</f>
        <v>59600.203503750003</v>
      </c>
      <c r="C12" s="93">
        <f t="shared" si="0"/>
        <v>572161.95363600005</v>
      </c>
      <c r="D12" s="94"/>
      <c r="E12" s="94"/>
      <c r="F12" s="114" t="s">
        <v>21</v>
      </c>
      <c r="G12" s="2"/>
      <c r="H12" s="1"/>
      <c r="I12" s="105" t="s">
        <v>220</v>
      </c>
      <c r="J12" s="103" t="s">
        <v>174</v>
      </c>
      <c r="K12" s="104">
        <v>3162</v>
      </c>
      <c r="L12" s="14"/>
      <c r="M12" s="14"/>
      <c r="N12" s="27"/>
      <c r="O12" s="27"/>
      <c r="P12" s="36"/>
      <c r="T12" s="123" t="s">
        <v>147</v>
      </c>
      <c r="U12" s="169">
        <v>0</v>
      </c>
      <c r="V12" s="178">
        <f>11/5</f>
        <v>2.2000000000000002</v>
      </c>
      <c r="W12" s="155">
        <v>0</v>
      </c>
      <c r="X12" s="155">
        <v>0</v>
      </c>
      <c r="Y12" s="155">
        <v>0</v>
      </c>
      <c r="Z12" s="155">
        <v>0</v>
      </c>
      <c r="AA12" s="155">
        <v>0</v>
      </c>
      <c r="AB12" s="155">
        <v>0</v>
      </c>
      <c r="AC12" s="155">
        <v>0</v>
      </c>
      <c r="AD12" s="178">
        <v>10</v>
      </c>
      <c r="AE12" s="155">
        <v>0</v>
      </c>
      <c r="AF12" s="155">
        <v>0</v>
      </c>
      <c r="AG12" s="178">
        <f>59/4</f>
        <v>14.75</v>
      </c>
      <c r="AH12" s="178">
        <v>5</v>
      </c>
      <c r="AI12" s="178">
        <v>0.2</v>
      </c>
      <c r="AJ12" s="178">
        <v>6</v>
      </c>
      <c r="AK12" s="181">
        <v>7</v>
      </c>
    </row>
    <row r="13" spans="1:37" ht="45" x14ac:dyDescent="0.25">
      <c r="A13" s="4" t="s">
        <v>147</v>
      </c>
      <c r="B13" s="5"/>
      <c r="C13" s="5"/>
      <c r="D13" s="6"/>
      <c r="E13" s="6"/>
      <c r="F13" s="74" t="s">
        <v>25</v>
      </c>
      <c r="I13" s="105" t="s">
        <v>223</v>
      </c>
      <c r="J13" s="103" t="s">
        <v>173</v>
      </c>
      <c r="K13" s="104">
        <v>94274</v>
      </c>
      <c r="L13" s="14"/>
      <c r="M13" s="14"/>
      <c r="N13" s="27"/>
      <c r="O13" s="27"/>
      <c r="P13" s="36"/>
      <c r="T13" s="123" t="s">
        <v>148</v>
      </c>
      <c r="U13" s="169">
        <v>0</v>
      </c>
      <c r="V13" s="178">
        <f t="shared" ref="V13:V14" si="1">11/5</f>
        <v>2.2000000000000002</v>
      </c>
      <c r="W13" s="155">
        <v>0</v>
      </c>
      <c r="X13" s="155">
        <v>0</v>
      </c>
      <c r="Y13" s="155">
        <v>0</v>
      </c>
      <c r="Z13" s="155">
        <v>0</v>
      </c>
      <c r="AA13" s="155">
        <v>0</v>
      </c>
      <c r="AB13" s="155">
        <v>0</v>
      </c>
      <c r="AC13" s="155">
        <v>0</v>
      </c>
      <c r="AD13" s="178">
        <v>10</v>
      </c>
      <c r="AE13" s="155">
        <v>0</v>
      </c>
      <c r="AF13" s="155">
        <v>0</v>
      </c>
      <c r="AG13" s="178">
        <f t="shared" ref="AG13:AG14" si="2">59/4</f>
        <v>14.75</v>
      </c>
      <c r="AH13" s="178">
        <v>5</v>
      </c>
      <c r="AI13" s="178">
        <v>0.2</v>
      </c>
      <c r="AJ13" s="178">
        <v>6</v>
      </c>
      <c r="AK13" s="181">
        <v>7</v>
      </c>
    </row>
    <row r="14" spans="1:37" ht="45.75" thickBot="1" x14ac:dyDescent="0.3">
      <c r="A14" s="4" t="s">
        <v>148</v>
      </c>
      <c r="B14" s="5"/>
      <c r="C14" s="5"/>
      <c r="D14" s="6"/>
      <c r="E14" s="6"/>
      <c r="F14" s="74" t="s">
        <v>25</v>
      </c>
      <c r="I14" s="105" t="s">
        <v>221</v>
      </c>
      <c r="J14" s="103" t="s">
        <v>172</v>
      </c>
      <c r="K14" s="104">
        <v>546043</v>
      </c>
      <c r="L14" s="14"/>
      <c r="M14" s="14"/>
      <c r="N14" s="27"/>
      <c r="O14" s="27"/>
      <c r="P14" s="36"/>
      <c r="T14" s="124" t="s">
        <v>149</v>
      </c>
      <c r="U14" s="170">
        <v>0</v>
      </c>
      <c r="V14" s="178">
        <f t="shared" si="1"/>
        <v>2.2000000000000002</v>
      </c>
      <c r="W14" s="151">
        <v>0</v>
      </c>
      <c r="X14" s="151">
        <v>0</v>
      </c>
      <c r="Y14" s="151">
        <v>0</v>
      </c>
      <c r="Z14" s="151">
        <v>0</v>
      </c>
      <c r="AA14" s="151">
        <v>0</v>
      </c>
      <c r="AB14" s="151">
        <v>0</v>
      </c>
      <c r="AC14" s="151">
        <v>0</v>
      </c>
      <c r="AD14" s="175">
        <v>10</v>
      </c>
      <c r="AE14" s="151">
        <v>0</v>
      </c>
      <c r="AF14" s="151">
        <v>0</v>
      </c>
      <c r="AG14" s="178">
        <f t="shared" si="2"/>
        <v>14.75</v>
      </c>
      <c r="AH14" s="175">
        <v>5</v>
      </c>
      <c r="AI14" s="175">
        <v>0.2</v>
      </c>
      <c r="AJ14" s="175">
        <v>6</v>
      </c>
      <c r="AK14" s="182">
        <v>7</v>
      </c>
    </row>
    <row r="15" spans="1:37" ht="45.75" thickBot="1" x14ac:dyDescent="0.3">
      <c r="A15" s="7" t="s">
        <v>149</v>
      </c>
      <c r="B15" s="8"/>
      <c r="C15" s="8"/>
      <c r="D15" s="9"/>
      <c r="E15" s="9"/>
      <c r="F15" s="76" t="s">
        <v>25</v>
      </c>
      <c r="I15" s="106" t="s">
        <v>166</v>
      </c>
      <c r="J15" s="107" t="s">
        <v>174</v>
      </c>
      <c r="K15" s="108">
        <v>5807</v>
      </c>
      <c r="L15" s="27"/>
      <c r="M15" s="27"/>
      <c r="N15" s="27"/>
      <c r="O15" s="27"/>
      <c r="P15" s="36"/>
    </row>
    <row r="16" spans="1:37" x14ac:dyDescent="0.25">
      <c r="A16" s="58"/>
      <c r="B16" s="59"/>
      <c r="C16" s="59"/>
      <c r="D16" s="58"/>
      <c r="E16" s="58"/>
      <c r="I16" s="106" t="s">
        <v>167</v>
      </c>
      <c r="J16" s="107" t="s">
        <v>174</v>
      </c>
      <c r="K16" s="108">
        <v>70184</v>
      </c>
      <c r="L16" s="27"/>
      <c r="M16" s="27"/>
      <c r="N16" s="27"/>
      <c r="O16" s="27"/>
      <c r="P16" s="36"/>
    </row>
    <row r="17" spans="1:17" x14ac:dyDescent="0.25">
      <c r="A17" s="58"/>
      <c r="B17" s="59"/>
      <c r="C17" s="59"/>
      <c r="D17" s="58"/>
      <c r="E17" s="58"/>
      <c r="I17" s="106" t="s">
        <v>169</v>
      </c>
      <c r="J17" s="107" t="s">
        <v>171</v>
      </c>
      <c r="K17" s="108">
        <v>1909733</v>
      </c>
      <c r="L17" s="27"/>
      <c r="M17" s="27"/>
      <c r="N17" s="27"/>
      <c r="O17" s="27"/>
      <c r="P17" s="36"/>
    </row>
    <row r="18" spans="1:17" ht="15.75" thickBot="1" x14ac:dyDescent="0.3">
      <c r="I18" s="106" t="s">
        <v>170</v>
      </c>
      <c r="J18" s="107" t="s">
        <v>174</v>
      </c>
      <c r="K18" s="108">
        <v>52451</v>
      </c>
      <c r="L18" s="27"/>
      <c r="M18" s="27"/>
      <c r="N18" s="27"/>
      <c r="O18" s="27"/>
      <c r="P18" s="36"/>
    </row>
    <row r="19" spans="1:17" ht="19.5" thickBot="1" x14ac:dyDescent="0.35">
      <c r="A19" s="374" t="s">
        <v>7</v>
      </c>
      <c r="B19" s="375"/>
      <c r="C19" s="375"/>
      <c r="D19" s="375"/>
      <c r="E19" s="376"/>
      <c r="I19" s="109" t="s">
        <v>168</v>
      </c>
      <c r="J19" s="110" t="s">
        <v>174</v>
      </c>
      <c r="K19" s="111">
        <v>87185</v>
      </c>
      <c r="L19" s="37"/>
      <c r="M19" s="37"/>
      <c r="N19" s="37"/>
      <c r="O19" s="37"/>
      <c r="P19" s="38"/>
      <c r="Q19" t="s">
        <v>181</v>
      </c>
    </row>
    <row r="20" spans="1:17" ht="15.75" thickBot="1" x14ac:dyDescent="0.3">
      <c r="A20" s="10" t="s">
        <v>6</v>
      </c>
      <c r="B20" s="11" t="s">
        <v>5</v>
      </c>
      <c r="C20" s="11" t="s">
        <v>0</v>
      </c>
      <c r="D20" s="11" t="s">
        <v>39</v>
      </c>
      <c r="E20" s="18" t="s">
        <v>40</v>
      </c>
      <c r="I20" s="66"/>
      <c r="J20" s="66"/>
      <c r="Q20" t="s">
        <v>182</v>
      </c>
    </row>
    <row r="21" spans="1:17" ht="45" x14ac:dyDescent="0.25">
      <c r="A21" s="10" t="s">
        <v>8</v>
      </c>
      <c r="B21" s="11">
        <v>2</v>
      </c>
      <c r="C21" s="14">
        <f>+D37*2</f>
        <v>34375</v>
      </c>
      <c r="D21" s="11">
        <v>3.5</v>
      </c>
      <c r="E21" s="18">
        <f>+D21*9.6</f>
        <v>33.6</v>
      </c>
      <c r="I21" s="119" t="s">
        <v>150</v>
      </c>
      <c r="J21" s="162" t="s">
        <v>219</v>
      </c>
      <c r="K21" s="163" t="s">
        <v>180</v>
      </c>
      <c r="L21" s="164"/>
      <c r="M21" s="164"/>
      <c r="N21" s="164"/>
      <c r="O21" s="164"/>
      <c r="P21" s="165"/>
      <c r="Q21" s="77" t="s">
        <v>183</v>
      </c>
    </row>
    <row r="22" spans="1:17" ht="45" x14ac:dyDescent="0.25">
      <c r="A22" s="10" t="s">
        <v>9</v>
      </c>
      <c r="B22" s="11">
        <v>1</v>
      </c>
      <c r="C22" s="14">
        <f>+D37</f>
        <v>17187.5</v>
      </c>
      <c r="D22" s="11">
        <v>2</v>
      </c>
      <c r="E22" s="18">
        <f t="shared" ref="E22:E24" si="3">+D22*9.6</f>
        <v>19.2</v>
      </c>
      <c r="I22" s="120" t="s">
        <v>151</v>
      </c>
      <c r="J22" s="166" t="s">
        <v>219</v>
      </c>
      <c r="K22" s="155" t="s">
        <v>178</v>
      </c>
      <c r="L22" s="155"/>
      <c r="M22" s="167"/>
      <c r="N22" s="155"/>
      <c r="O22" s="155"/>
      <c r="P22" s="156"/>
      <c r="Q22" t="s">
        <v>184</v>
      </c>
    </row>
    <row r="23" spans="1:17" ht="30" x14ac:dyDescent="0.25">
      <c r="A23" s="10" t="s">
        <v>223</v>
      </c>
      <c r="B23" s="11">
        <v>2</v>
      </c>
      <c r="C23" s="17">
        <f>+C21</f>
        <v>34375</v>
      </c>
      <c r="D23" s="11">
        <f>50/8</f>
        <v>6.25</v>
      </c>
      <c r="E23" s="18">
        <f t="shared" si="3"/>
        <v>60</v>
      </c>
      <c r="I23" s="120" t="s">
        <v>152</v>
      </c>
      <c r="J23" s="153" t="s">
        <v>179</v>
      </c>
      <c r="K23" s="155" t="s">
        <v>175</v>
      </c>
      <c r="L23" s="167"/>
      <c r="M23" s="167"/>
      <c r="N23" s="167"/>
      <c r="O23" s="167"/>
      <c r="P23" s="156"/>
      <c r="Q23" t="s">
        <v>185</v>
      </c>
    </row>
    <row r="24" spans="1:17" ht="15.75" thickBot="1" x14ac:dyDescent="0.3">
      <c r="A24" s="12" t="s">
        <v>10</v>
      </c>
      <c r="B24" s="13">
        <v>2</v>
      </c>
      <c r="C24" s="19">
        <f>+C23</f>
        <v>34375</v>
      </c>
      <c r="D24" s="13">
        <v>2</v>
      </c>
      <c r="E24" s="20">
        <f t="shared" si="3"/>
        <v>19.2</v>
      </c>
      <c r="I24" s="120" t="s">
        <v>153</v>
      </c>
      <c r="J24" s="153" t="s">
        <v>180</v>
      </c>
      <c r="K24" s="167"/>
      <c r="L24" s="167"/>
      <c r="M24" s="167"/>
      <c r="N24" s="167"/>
      <c r="O24" s="167"/>
      <c r="P24" s="156"/>
      <c r="Q24" t="s">
        <v>186</v>
      </c>
    </row>
    <row r="25" spans="1:17" ht="30.75" thickBot="1" x14ac:dyDescent="0.3">
      <c r="I25" s="120" t="s">
        <v>154</v>
      </c>
      <c r="J25" s="153" t="s">
        <v>222</v>
      </c>
      <c r="K25" s="155" t="s">
        <v>176</v>
      </c>
      <c r="L25" s="155" t="s">
        <v>177</v>
      </c>
      <c r="M25" s="154" t="s">
        <v>221</v>
      </c>
      <c r="N25" s="167"/>
      <c r="O25" s="167"/>
      <c r="P25" s="156"/>
      <c r="Q25" t="s">
        <v>187</v>
      </c>
    </row>
    <row r="26" spans="1:17" ht="30.75" x14ac:dyDescent="0.3">
      <c r="A26" s="65" t="s">
        <v>13</v>
      </c>
      <c r="B26" s="63"/>
      <c r="C26" s="63"/>
      <c r="D26" s="63"/>
      <c r="E26" s="63"/>
      <c r="I26" s="120" t="s">
        <v>155</v>
      </c>
      <c r="J26" s="153" t="s">
        <v>222</v>
      </c>
      <c r="K26" s="155" t="s">
        <v>176</v>
      </c>
      <c r="L26" s="155" t="s">
        <v>177</v>
      </c>
      <c r="M26" s="167"/>
      <c r="N26" s="167"/>
      <c r="O26" s="167"/>
      <c r="P26" s="156"/>
      <c r="Q26" t="s">
        <v>188</v>
      </c>
    </row>
    <row r="27" spans="1:17" ht="30" x14ac:dyDescent="0.25">
      <c r="A27" s="112" t="s">
        <v>14</v>
      </c>
      <c r="B27" s="61"/>
      <c r="C27" s="61"/>
      <c r="D27" s="61"/>
      <c r="E27" s="61"/>
      <c r="I27" s="120" t="s">
        <v>156</v>
      </c>
      <c r="J27" s="153" t="s">
        <v>221</v>
      </c>
      <c r="K27" s="167"/>
      <c r="L27" s="167"/>
      <c r="M27" s="167"/>
      <c r="N27" s="167"/>
      <c r="O27" s="167"/>
      <c r="P27" s="156"/>
      <c r="Q27" t="s">
        <v>189</v>
      </c>
    </row>
    <row r="28" spans="1:17" ht="30" x14ac:dyDescent="0.25">
      <c r="A28" s="112" t="s">
        <v>15</v>
      </c>
      <c r="B28" s="64"/>
      <c r="C28" s="64"/>
      <c r="D28" s="64"/>
      <c r="E28" s="64"/>
      <c r="I28" s="120" t="s">
        <v>157</v>
      </c>
      <c r="J28" s="153" t="s">
        <v>221</v>
      </c>
      <c r="K28" s="167"/>
      <c r="L28" s="167"/>
      <c r="M28" s="167"/>
      <c r="N28" s="167"/>
      <c r="O28" s="167"/>
      <c r="P28" s="156"/>
      <c r="Q28" t="s">
        <v>190</v>
      </c>
    </row>
    <row r="29" spans="1:17" x14ac:dyDescent="0.25">
      <c r="A29" s="112" t="s">
        <v>16</v>
      </c>
      <c r="B29" s="64"/>
      <c r="C29" s="64"/>
      <c r="D29" s="64"/>
      <c r="E29" s="61"/>
      <c r="I29" s="120" t="s">
        <v>158</v>
      </c>
      <c r="J29" s="153" t="s">
        <v>220</v>
      </c>
      <c r="K29" s="167"/>
      <c r="L29" s="167"/>
      <c r="M29" s="167"/>
      <c r="N29" s="167"/>
      <c r="O29" s="167"/>
      <c r="P29" s="156"/>
      <c r="Q29" s="77" t="s">
        <v>3</v>
      </c>
    </row>
    <row r="30" spans="1:17" ht="60" x14ac:dyDescent="0.25">
      <c r="A30" s="112" t="s">
        <v>161</v>
      </c>
      <c r="B30" s="64"/>
      <c r="C30" s="64"/>
      <c r="D30" s="64"/>
      <c r="E30" s="64"/>
      <c r="I30" s="120" t="s">
        <v>159</v>
      </c>
      <c r="J30" s="166" t="s">
        <v>219</v>
      </c>
      <c r="K30" s="155" t="s">
        <v>175</v>
      </c>
      <c r="L30" s="155" t="s">
        <v>176</v>
      </c>
      <c r="M30" s="155" t="s">
        <v>177</v>
      </c>
      <c r="N30" s="155" t="s">
        <v>180</v>
      </c>
      <c r="O30" s="178" t="s">
        <v>221</v>
      </c>
      <c r="P30" s="156" t="s">
        <v>222</v>
      </c>
      <c r="Q30" s="77" t="s">
        <v>191</v>
      </c>
    </row>
    <row r="31" spans="1:17" ht="60.75" thickBot="1" x14ac:dyDescent="0.3">
      <c r="A31" s="113" t="s">
        <v>17</v>
      </c>
      <c r="B31" s="62"/>
      <c r="C31" s="62"/>
      <c r="D31" s="62"/>
      <c r="E31" s="60"/>
      <c r="I31" s="120" t="s">
        <v>147</v>
      </c>
      <c r="J31" s="180" t="s">
        <v>18</v>
      </c>
      <c r="K31" s="178" t="s">
        <v>223</v>
      </c>
      <c r="L31" s="178" t="s">
        <v>166</v>
      </c>
      <c r="M31" s="178" t="s">
        <v>167</v>
      </c>
      <c r="N31" s="178" t="s">
        <v>169</v>
      </c>
      <c r="O31" s="178" t="s">
        <v>170</v>
      </c>
      <c r="P31" s="179" t="s">
        <v>168</v>
      </c>
      <c r="Q31" s="77" t="s">
        <v>192</v>
      </c>
    </row>
    <row r="32" spans="1:17" ht="60.75" thickBot="1" x14ac:dyDescent="0.3">
      <c r="I32" s="120" t="s">
        <v>148</v>
      </c>
      <c r="J32" s="180" t="s">
        <v>18</v>
      </c>
      <c r="K32" s="178" t="s">
        <v>223</v>
      </c>
      <c r="L32" s="178" t="s">
        <v>166</v>
      </c>
      <c r="M32" s="178" t="s">
        <v>167</v>
      </c>
      <c r="N32" s="178" t="s">
        <v>169</v>
      </c>
      <c r="O32" s="178" t="s">
        <v>170</v>
      </c>
      <c r="P32" s="179" t="s">
        <v>168</v>
      </c>
      <c r="Q32" s="77" t="s">
        <v>27</v>
      </c>
    </row>
    <row r="33" spans="1:16" ht="57" customHeight="1" x14ac:dyDescent="0.3">
      <c r="A33" s="374" t="s">
        <v>25</v>
      </c>
      <c r="B33" s="375"/>
      <c r="C33" s="375"/>
      <c r="D33" s="376"/>
      <c r="I33" s="120" t="s">
        <v>149</v>
      </c>
      <c r="J33" s="180" t="s">
        <v>18</v>
      </c>
      <c r="K33" s="178" t="s">
        <v>223</v>
      </c>
      <c r="L33" s="178" t="s">
        <v>166</v>
      </c>
      <c r="M33" s="178" t="s">
        <v>167</v>
      </c>
      <c r="N33" s="178" t="s">
        <v>169</v>
      </c>
      <c r="O33" s="178" t="s">
        <v>170</v>
      </c>
      <c r="P33" s="179" t="s">
        <v>168</v>
      </c>
    </row>
    <row r="34" spans="1:16" ht="30" x14ac:dyDescent="0.25">
      <c r="A34" s="21" t="s">
        <v>28</v>
      </c>
      <c r="B34" s="15" t="s">
        <v>29</v>
      </c>
      <c r="C34" s="15" t="s">
        <v>24</v>
      </c>
      <c r="D34" s="22" t="s">
        <v>30</v>
      </c>
      <c r="I34" s="380" t="s">
        <v>193</v>
      </c>
      <c r="J34" s="171" t="str">
        <f>+VLOOKUP('COSTOS POR ATEL'!$D$17,'RENDIMIENTOS Y TARIFAS'!$I$21:$P$33,2,0)</f>
        <v>AFIRMADO</v>
      </c>
      <c r="K34" s="172" t="str">
        <f>+VLOOKUP('COSTOS POR ATEL'!$D$17,'RENDIMIENTOS Y TARIFAS'!$I$21:$P$33,3,0)</f>
        <v>RELLENO EN SUB BASE GRANULAR</v>
      </c>
      <c r="L34" s="172" t="str">
        <f>+VLOOKUP('COSTOS POR ATEL'!$D$17,'RENDIMIENTOS Y TARIFAS'!$I$21:$P$33,4,0)</f>
        <v>RELLENO EN BASE GRANULAR</v>
      </c>
      <c r="M34" s="172">
        <f>+VLOOKUP('COSTOS POR ATEL'!$D$17,'RENDIMIENTOS Y TARIFAS'!$I$21:$P$33,5,0)</f>
        <v>0</v>
      </c>
      <c r="N34" s="172">
        <f>+VLOOKUP('COSTOS POR ATEL'!$D$17,'RENDIMIENTOS Y TARIFAS'!$I$21:$P$33,6,0)</f>
        <v>0</v>
      </c>
      <c r="O34" s="172">
        <f>+VLOOKUP('COSTOS POR ATEL'!$D$17,'RENDIMIENTOS Y TARIFAS'!$I$21:$P$33,7,0)</f>
        <v>0</v>
      </c>
      <c r="P34" s="173">
        <f>+VLOOKUP('COSTOS POR ATEL'!$D$17,'RENDIMIENTOS Y TARIFAS'!$I$21:$P$33,8,)</f>
        <v>0</v>
      </c>
    </row>
    <row r="35" spans="1:16" ht="30.75" thickBot="1" x14ac:dyDescent="0.3">
      <c r="A35" s="21" t="s">
        <v>26</v>
      </c>
      <c r="B35" s="16">
        <v>1800000</v>
      </c>
      <c r="C35" s="16">
        <f>+B35/30</f>
        <v>60000</v>
      </c>
      <c r="D35" s="23">
        <f>+C35/9.6</f>
        <v>6250</v>
      </c>
      <c r="I35" s="381"/>
      <c r="J35" s="137" t="str">
        <f>+IF(J34=0," ",J34)</f>
        <v>AFIRMADO</v>
      </c>
      <c r="K35" s="138" t="str">
        <f t="shared" ref="K35:P35" si="4">+IF(K34=0," ",K34)</f>
        <v>RELLENO EN SUB BASE GRANULAR</v>
      </c>
      <c r="L35" s="138" t="str">
        <f t="shared" si="4"/>
        <v>RELLENO EN BASE GRANULAR</v>
      </c>
      <c r="M35" s="138" t="str">
        <f t="shared" si="4"/>
        <v xml:space="preserve"> </v>
      </c>
      <c r="N35" s="138" t="str">
        <f t="shared" si="4"/>
        <v xml:space="preserve"> </v>
      </c>
      <c r="O35" s="138" t="str">
        <f t="shared" si="4"/>
        <v xml:space="preserve"> </v>
      </c>
      <c r="P35" s="152" t="str">
        <f t="shared" si="4"/>
        <v xml:space="preserve"> </v>
      </c>
    </row>
    <row r="36" spans="1:16" x14ac:dyDescent="0.25">
      <c r="A36" s="21" t="s">
        <v>27</v>
      </c>
      <c r="B36" s="16">
        <v>1050000</v>
      </c>
      <c r="C36" s="16">
        <f>+B36/30</f>
        <v>35000</v>
      </c>
      <c r="D36" s="23">
        <f t="shared" ref="D36:D37" si="5">+C36/9.6</f>
        <v>3645.8333333333335</v>
      </c>
      <c r="I36" s="71"/>
    </row>
    <row r="37" spans="1:16" ht="30.75" thickBot="1" x14ac:dyDescent="0.3">
      <c r="A37" s="24" t="s">
        <v>31</v>
      </c>
      <c r="B37" s="25">
        <f>+(B36*3)+B35</f>
        <v>4950000</v>
      </c>
      <c r="C37" s="25">
        <f>+B37/30</f>
        <v>165000</v>
      </c>
      <c r="D37" s="26">
        <f t="shared" si="5"/>
        <v>17187.5</v>
      </c>
    </row>
  </sheetData>
  <sheetProtection algorithmName="SHA-512" hashValue="atf8LogWCcW4oPukpyWT/8TF3Y5axh8pfVigTXs0SOun1ZPWrVdKEM4/kU64wrg1FgtT/9MnspIV67aSjvhjkA==" saltValue="2m33KtaCMs1xbyCD3w0P5w==" spinCount="100000" sheet="1" objects="1" scenarios="1"/>
  <mergeCells count="5">
    <mergeCell ref="A33:D33"/>
    <mergeCell ref="A19:E19"/>
    <mergeCell ref="I1:P1"/>
    <mergeCell ref="I34:I35"/>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B8:L123"/>
  <sheetViews>
    <sheetView showGridLines="0" view="pageBreakPreview" topLeftCell="A99" zoomScale="70" zoomScaleNormal="100" zoomScaleSheetLayoutView="70" workbookViewId="0">
      <selection activeCell="G122" sqref="G122"/>
    </sheetView>
  </sheetViews>
  <sheetFormatPr baseColWidth="10" defaultColWidth="11.42578125" defaultRowHeight="17.25" x14ac:dyDescent="0.25"/>
  <cols>
    <col min="1" max="1" width="3.85546875" style="205" customWidth="1"/>
    <col min="2" max="2" width="1.5703125" style="205" customWidth="1"/>
    <col min="3" max="3" width="2.5703125" style="205" customWidth="1"/>
    <col min="4" max="4" width="67.7109375" style="205" bestFit="1" customWidth="1"/>
    <col min="5" max="7" width="11.42578125" style="205"/>
    <col min="8" max="8" width="68.28515625" style="205" customWidth="1"/>
    <col min="9" max="9" width="2.5703125" style="205" customWidth="1"/>
    <col min="10" max="10" width="11.42578125" style="205" customWidth="1"/>
    <col min="11" max="11" width="34.28515625" style="205" customWidth="1"/>
    <col min="12" max="12" width="47.42578125" style="205" customWidth="1"/>
    <col min="13" max="13" width="2.28515625" style="205" customWidth="1"/>
    <col min="14" max="14" width="5.140625" style="205" customWidth="1"/>
    <col min="15" max="16384" width="11.42578125" style="205"/>
  </cols>
  <sheetData>
    <row r="8" spans="2:12" x14ac:dyDescent="0.25">
      <c r="J8" s="442"/>
      <c r="K8" s="442"/>
      <c r="L8" s="442"/>
    </row>
    <row r="9" spans="2:12" ht="18" thickBot="1" x14ac:dyDescent="0.3">
      <c r="J9" s="442">
        <v>1</v>
      </c>
      <c r="K9" s="442"/>
      <c r="L9" s="442"/>
    </row>
    <row r="10" spans="2:12" ht="18" thickBot="1" x14ac:dyDescent="0.3">
      <c r="B10" s="252"/>
      <c r="C10" s="253"/>
      <c r="D10" s="253"/>
      <c r="E10" s="253"/>
      <c r="F10" s="253"/>
      <c r="G10" s="253"/>
      <c r="H10" s="253"/>
      <c r="I10" s="255"/>
      <c r="J10" s="442">
        <v>2</v>
      </c>
      <c r="K10" s="442" t="s">
        <v>79</v>
      </c>
      <c r="L10" s="442" t="s">
        <v>80</v>
      </c>
    </row>
    <row r="11" spans="2:12" ht="18" thickBot="1" x14ac:dyDescent="0.3">
      <c r="B11" s="256"/>
      <c r="C11" s="244"/>
      <c r="D11" s="361" t="s">
        <v>268</v>
      </c>
      <c r="E11" s="362"/>
      <c r="F11" s="362"/>
      <c r="G11" s="362"/>
      <c r="H11" s="363"/>
      <c r="I11" s="257"/>
      <c r="J11" s="442">
        <v>3</v>
      </c>
      <c r="K11" s="442"/>
      <c r="L11" s="442"/>
    </row>
    <row r="12" spans="2:12" x14ac:dyDescent="0.25">
      <c r="B12" s="256"/>
      <c r="C12" s="244"/>
      <c r="D12" s="244"/>
      <c r="E12" s="244"/>
      <c r="F12" s="244"/>
      <c r="G12" s="244"/>
      <c r="H12" s="244"/>
      <c r="I12" s="257"/>
      <c r="J12" s="442">
        <v>4</v>
      </c>
      <c r="K12" s="442"/>
      <c r="L12" s="442"/>
    </row>
    <row r="13" spans="2:12" ht="91.5" customHeight="1" x14ac:dyDescent="0.25">
      <c r="B13" s="256"/>
      <c r="C13" s="244"/>
      <c r="D13" s="389" t="s">
        <v>277</v>
      </c>
      <c r="E13" s="390"/>
      <c r="F13" s="390"/>
      <c r="G13" s="390"/>
      <c r="H13" s="391"/>
      <c r="I13" s="257"/>
      <c r="J13" s="442">
        <v>5</v>
      </c>
      <c r="K13" s="442"/>
      <c r="L13" s="442"/>
    </row>
    <row r="14" spans="2:12" x14ac:dyDescent="0.25">
      <c r="B14" s="256"/>
      <c r="C14" s="244"/>
      <c r="D14" s="244"/>
      <c r="E14" s="244"/>
      <c r="F14" s="244"/>
      <c r="G14" s="244"/>
      <c r="H14" s="244"/>
      <c r="I14" s="257"/>
      <c r="J14" s="442">
        <v>6</v>
      </c>
      <c r="K14" s="442"/>
      <c r="L14" s="442"/>
    </row>
    <row r="15" spans="2:12" ht="35.25" customHeight="1" thickBot="1" x14ac:dyDescent="0.3">
      <c r="B15" s="256"/>
      <c r="C15" s="244"/>
      <c r="D15" s="385" t="s">
        <v>242</v>
      </c>
      <c r="E15" s="385"/>
      <c r="F15" s="385"/>
      <c r="G15" s="385"/>
      <c r="H15" s="385"/>
      <c r="I15" s="257"/>
      <c r="J15" s="442">
        <v>7</v>
      </c>
      <c r="K15" s="442"/>
      <c r="L15" s="442"/>
    </row>
    <row r="16" spans="2:12" x14ac:dyDescent="0.25">
      <c r="B16" s="252"/>
      <c r="C16" s="253"/>
      <c r="D16" s="253"/>
      <c r="E16" s="253"/>
      <c r="F16" s="253"/>
      <c r="G16" s="253"/>
      <c r="H16" s="253"/>
      <c r="I16" s="255"/>
      <c r="J16" s="442">
        <v>8</v>
      </c>
      <c r="K16" s="442"/>
      <c r="L16" s="442"/>
    </row>
    <row r="17" spans="2:12" ht="34.5" x14ac:dyDescent="0.25">
      <c r="B17" s="256"/>
      <c r="C17" s="266" t="s">
        <v>141</v>
      </c>
      <c r="D17" s="232" t="s">
        <v>269</v>
      </c>
      <c r="E17" s="244"/>
      <c r="F17" s="244"/>
      <c r="G17" s="262" t="s">
        <v>143</v>
      </c>
      <c r="H17" s="232" t="s">
        <v>270</v>
      </c>
      <c r="I17" s="257"/>
      <c r="J17" s="442">
        <v>9</v>
      </c>
      <c r="K17" s="442"/>
      <c r="L17" s="442"/>
    </row>
    <row r="18" spans="2:12" ht="18" thickBot="1" x14ac:dyDescent="0.3">
      <c r="B18" s="256"/>
      <c r="C18" s="244"/>
      <c r="D18" s="244"/>
      <c r="E18" s="244"/>
      <c r="F18" s="244"/>
      <c r="G18" s="244"/>
      <c r="H18" s="244"/>
      <c r="I18" s="257"/>
      <c r="J18" s="442">
        <v>10</v>
      </c>
      <c r="K18" s="442"/>
      <c r="L18" s="442"/>
    </row>
    <row r="19" spans="2:12" ht="18" thickBot="1" x14ac:dyDescent="0.3">
      <c r="B19" s="194"/>
      <c r="C19" s="195"/>
      <c r="D19" s="198" t="s">
        <v>88</v>
      </c>
      <c r="E19" s="195" t="s">
        <v>20</v>
      </c>
      <c r="F19" s="195"/>
      <c r="G19" s="195"/>
      <c r="H19" s="198">
        <v>2</v>
      </c>
      <c r="I19" s="196" t="s">
        <v>20</v>
      </c>
      <c r="J19" s="442"/>
      <c r="K19" s="442"/>
      <c r="L19" s="442"/>
    </row>
    <row r="20" spans="2:12" x14ac:dyDescent="0.25">
      <c r="B20" s="194"/>
      <c r="C20" s="244"/>
      <c r="D20" s="244"/>
      <c r="E20" s="244"/>
      <c r="F20" s="244"/>
      <c r="G20" s="244"/>
      <c r="H20" s="244"/>
      <c r="I20" s="196"/>
    </row>
    <row r="21" spans="2:12" ht="34.5" x14ac:dyDescent="0.25">
      <c r="B21" s="194"/>
      <c r="C21" s="266" t="s">
        <v>142</v>
      </c>
      <c r="D21" s="232" t="s">
        <v>275</v>
      </c>
      <c r="E21" s="244"/>
      <c r="F21" s="244"/>
      <c r="G21" s="262" t="s">
        <v>195</v>
      </c>
      <c r="H21" s="232" t="s">
        <v>271</v>
      </c>
      <c r="I21" s="196"/>
    </row>
    <row r="22" spans="2:12" ht="18" thickBot="1" x14ac:dyDescent="0.3">
      <c r="B22" s="194"/>
      <c r="C22" s="244"/>
      <c r="D22" s="244"/>
      <c r="E22" s="244"/>
      <c r="F22" s="244"/>
      <c r="G22" s="244"/>
      <c r="H22" s="244"/>
      <c r="I22" s="196"/>
    </row>
    <row r="23" spans="2:12" ht="18" thickBot="1" x14ac:dyDescent="0.3">
      <c r="B23" s="194"/>
      <c r="C23" s="195"/>
      <c r="D23" s="198" t="s">
        <v>199</v>
      </c>
      <c r="E23" s="195" t="s">
        <v>20</v>
      </c>
      <c r="F23" s="195"/>
      <c r="G23" s="195"/>
      <c r="H23" s="198">
        <v>4</v>
      </c>
      <c r="I23" s="196" t="s">
        <v>20</v>
      </c>
    </row>
    <row r="24" spans="2:12" ht="18" thickBot="1" x14ac:dyDescent="0.3">
      <c r="B24" s="200"/>
      <c r="C24" s="201"/>
      <c r="D24" s="207" t="s">
        <v>340</v>
      </c>
      <c r="E24" s="201"/>
      <c r="F24" s="201"/>
      <c r="G24" s="201"/>
      <c r="H24" s="201"/>
      <c r="I24" s="202"/>
    </row>
    <row r="25" spans="2:12" ht="18" thickBot="1" x14ac:dyDescent="0.3">
      <c r="B25" s="194"/>
      <c r="C25" s="195"/>
      <c r="D25" s="244"/>
      <c r="E25" s="244"/>
      <c r="F25" s="244"/>
      <c r="G25" s="244"/>
      <c r="H25" s="244"/>
      <c r="I25" s="196"/>
    </row>
    <row r="26" spans="2:12" x14ac:dyDescent="0.25">
      <c r="B26" s="191"/>
      <c r="C26" s="192"/>
      <c r="D26" s="392" t="s">
        <v>276</v>
      </c>
      <c r="E26" s="392"/>
      <c r="F26" s="392"/>
      <c r="G26" s="392"/>
      <c r="H26" s="392"/>
      <c r="I26" s="193"/>
    </row>
    <row r="27" spans="2:12" x14ac:dyDescent="0.25">
      <c r="B27" s="194"/>
      <c r="C27" s="195"/>
      <c r="D27" s="244"/>
      <c r="E27" s="244"/>
      <c r="F27" s="244"/>
      <c r="G27" s="244"/>
      <c r="H27" s="244"/>
      <c r="I27" s="196"/>
    </row>
    <row r="28" spans="2:12" ht="34.5" x14ac:dyDescent="0.25">
      <c r="B28" s="194"/>
      <c r="C28" s="197" t="s">
        <v>195</v>
      </c>
      <c r="D28" s="232" t="s">
        <v>278</v>
      </c>
      <c r="E28" s="393"/>
      <c r="F28" s="393"/>
      <c r="G28" s="269"/>
      <c r="H28" s="270" t="s">
        <v>279</v>
      </c>
      <c r="I28" s="196"/>
    </row>
    <row r="29" spans="2:12" ht="18" thickBot="1" x14ac:dyDescent="0.3">
      <c r="B29" s="194"/>
      <c r="C29" s="195"/>
      <c r="D29" s="244"/>
      <c r="E29" s="269"/>
      <c r="F29" s="269"/>
      <c r="G29" s="269"/>
      <c r="H29" s="244"/>
      <c r="I29" s="196"/>
    </row>
    <row r="30" spans="2:12" ht="16.5" customHeight="1" thickBot="1" x14ac:dyDescent="0.3">
      <c r="B30" s="208"/>
      <c r="C30" s="206"/>
      <c r="D30" s="203">
        <v>6</v>
      </c>
      <c r="E30" s="244" t="s">
        <v>20</v>
      </c>
      <c r="F30" s="271"/>
      <c r="G30" s="269"/>
      <c r="H30" s="272">
        <f>IF(D30&lt;&gt;"",VLOOKUP(D30,'DATOS PESV'!$B$24:$E$48,4,0),"")</f>
        <v>208331.2</v>
      </c>
      <c r="I30" s="209"/>
    </row>
    <row r="31" spans="2:12" ht="18" thickBot="1" x14ac:dyDescent="0.3">
      <c r="B31" s="208"/>
      <c r="C31" s="206"/>
      <c r="D31" s="275" t="s">
        <v>280</v>
      </c>
      <c r="E31" s="271"/>
      <c r="F31" s="271"/>
      <c r="G31" s="269"/>
      <c r="H31" s="241"/>
      <c r="I31" s="209"/>
    </row>
    <row r="32" spans="2:12" ht="87" thickBot="1" x14ac:dyDescent="0.3">
      <c r="B32" s="208"/>
      <c r="C32" s="206"/>
      <c r="D32" s="274" t="str">
        <f>IF(D30&lt;&gt;"",VLOOKUP(D30,'DATOS PESV'!B24:C48,2,0),"")</f>
        <v>Realizar el cargue o descargue de unvehiculo en sitios y horas prohibidas por las autoridades competentes, de acuerdo con lo establecido en las normas correspondientes</v>
      </c>
      <c r="E32" s="271"/>
      <c r="F32" s="271"/>
      <c r="G32" s="269"/>
      <c r="H32" s="273" t="s">
        <v>288</v>
      </c>
      <c r="I32" s="209"/>
    </row>
    <row r="33" spans="2:10" x14ac:dyDescent="0.25">
      <c r="B33" s="208"/>
      <c r="C33" s="206"/>
      <c r="D33" s="276"/>
      <c r="E33" s="277"/>
      <c r="F33" s="277"/>
      <c r="G33" s="269"/>
      <c r="H33" s="244"/>
      <c r="I33" s="209"/>
    </row>
    <row r="34" spans="2:10" ht="34.5" x14ac:dyDescent="0.25">
      <c r="B34" s="208"/>
      <c r="C34" s="206"/>
      <c r="D34" s="270" t="s">
        <v>282</v>
      </c>
      <c r="E34" s="277"/>
      <c r="F34" s="277"/>
      <c r="G34" s="269"/>
      <c r="H34" s="270" t="s">
        <v>285</v>
      </c>
      <c r="I34" s="209"/>
    </row>
    <row r="35" spans="2:10" ht="18" thickBot="1" x14ac:dyDescent="0.3">
      <c r="B35" s="208"/>
      <c r="C35" s="206"/>
      <c r="D35" s="244"/>
      <c r="E35" s="277"/>
      <c r="F35" s="277"/>
      <c r="G35" s="269"/>
      <c r="H35" s="244"/>
      <c r="I35" s="209"/>
    </row>
    <row r="36" spans="2:10" ht="18" thickBot="1" x14ac:dyDescent="0.3">
      <c r="B36" s="208"/>
      <c r="C36" s="206"/>
      <c r="D36" s="272" t="str">
        <f>IF(D30&lt;&gt;"",VLOOKUP(D30,'DATOS PESV'!B24:F48,5,0),"")</f>
        <v>no</v>
      </c>
      <c r="E36" s="279"/>
      <c r="F36" s="279"/>
      <c r="G36" s="244"/>
      <c r="H36" s="235">
        <f>+(IF(D36="no",0,IF(D19='DATOS PESV'!C8,'DATOS PESV'!D8,IF(D19='DATOS PESV'!C9,'DATOS PESV'!D9,IF(D19='DATOS PESV'!C10,'DATOS PESV'!D10,IF(D19='DATOS PESV'!C11,'DATOS PESV'!D11,0))))))</f>
        <v>0</v>
      </c>
      <c r="I36" s="209"/>
    </row>
    <row r="37" spans="2:10" ht="34.5" x14ac:dyDescent="0.25">
      <c r="B37" s="208"/>
      <c r="C37" s="206"/>
      <c r="D37" s="278"/>
      <c r="E37" s="279"/>
      <c r="F37" s="279"/>
      <c r="G37" s="244"/>
      <c r="H37" s="230" t="s">
        <v>286</v>
      </c>
      <c r="I37" s="209"/>
    </row>
    <row r="38" spans="2:10" ht="51.75" x14ac:dyDescent="0.25">
      <c r="B38" s="208"/>
      <c r="C38" s="197" t="s">
        <v>160</v>
      </c>
      <c r="D38" s="232" t="s">
        <v>272</v>
      </c>
      <c r="E38" s="279"/>
      <c r="F38" s="279"/>
      <c r="G38" s="244"/>
      <c r="H38" s="270" t="s">
        <v>287</v>
      </c>
      <c r="I38" s="209"/>
    </row>
    <row r="39" spans="2:10" ht="18" thickBot="1" x14ac:dyDescent="0.3">
      <c r="B39" s="208"/>
      <c r="C39" s="206"/>
      <c r="D39" s="244"/>
      <c r="E39" s="279"/>
      <c r="F39" s="279"/>
      <c r="G39" s="244"/>
      <c r="H39" s="244"/>
      <c r="I39" s="209"/>
    </row>
    <row r="40" spans="2:10" ht="18" thickBot="1" x14ac:dyDescent="0.3">
      <c r="B40" s="208"/>
      <c r="C40" s="206"/>
      <c r="D40" s="198">
        <v>5</v>
      </c>
      <c r="E40" s="244" t="s">
        <v>20</v>
      </c>
      <c r="F40" s="279"/>
      <c r="G40" s="244"/>
      <c r="H40" s="235">
        <f>(IF(D19='DATOS PESV'!C8,(+IF(D36="no",0,IF(D40&lt;=1,0,IF(D40&lt;=6,(D40-1)*'DATOS PESV'!E8,IF(D40&lt;=30,('DATOS PESV'!E8*5)+('DATOS PESV'!F8*(D40-6)),('DATOS PESV'!E8*5)+('DATOS PESV'!F8*24)+('DATOS PESV'!G8*(D40-30))))))),IF(D19='DATOS PESV'!C9,(+IF(D36="no",0,IF(D40&lt;=1,0,IF(D40&lt;=6,(D40-1)*'DATOS PESV'!E9,IF(D40&lt;=30,('DATOS PESV'!E9*5)+('DATOS PESV'!F9*(D40-6)),('DATOS PESV'!E9*5)+('DATOS PESV'!F9*24)+('DATOS PESV'!G9*(D40-30))))))),IF(D19='DATOS PESV'!C10,(+IF(D36="no",0,IF(D40&lt;=1,0,IF(D40&lt;=6,(D40-1)*'DATOS PESV'!E10,IF(D40&lt;=30,('DATOS PESV'!E10*5)+('DATOS PESV'!F10*(D40-6)),('DATOS PESV'!E10*5)+('DATOS PESV'!F10*24)+('DATOS PESV'!G10*(D40-30))))))),IF(D19='DATOS PESV'!C11,(+IF(D36="no",0,IF(D40&lt;=1,0,IF(D40&lt;=6,(D40-1)*'DATOS PESV'!E11,IF(D40&lt;=30,('DATOS PESV'!E11*5)+('DATOS PESV'!F11*(D40-6)),('DATOS PESV'!E11*5)+('DATOS PESV'!F11*24)+('DATOS PESV'!G11*(D40-30))))))),0)))))</f>
        <v>0</v>
      </c>
      <c r="I40" s="209"/>
    </row>
    <row r="41" spans="2:10" ht="34.5" x14ac:dyDescent="0.25">
      <c r="B41" s="208"/>
      <c r="C41" s="206"/>
      <c r="D41" s="244"/>
      <c r="E41" s="279"/>
      <c r="F41" s="279"/>
      <c r="G41" s="244"/>
      <c r="H41" s="230" t="s">
        <v>289</v>
      </c>
      <c r="I41" s="209"/>
    </row>
    <row r="42" spans="2:10" ht="34.5" x14ac:dyDescent="0.25">
      <c r="B42" s="208"/>
      <c r="C42" s="206"/>
      <c r="D42" s="270" t="s">
        <v>281</v>
      </c>
      <c r="E42" s="279"/>
      <c r="F42" s="279"/>
      <c r="G42" s="244"/>
      <c r="H42" s="244"/>
      <c r="I42" s="209"/>
    </row>
    <row r="43" spans="2:10" ht="18" thickBot="1" x14ac:dyDescent="0.3">
      <c r="B43" s="208"/>
      <c r="C43" s="206"/>
      <c r="D43" s="244"/>
      <c r="E43" s="279"/>
      <c r="F43" s="279"/>
      <c r="G43" s="244"/>
      <c r="H43" s="241"/>
      <c r="I43" s="209"/>
    </row>
    <row r="44" spans="2:10" ht="35.25" thickBot="1" x14ac:dyDescent="0.3">
      <c r="B44" s="208"/>
      <c r="C44" s="206"/>
      <c r="D44" s="235">
        <f>(+IF(D36="no",0,IF(D19='DATOS PESV'!C8,'DATOS PESV'!H8,IF(D19='DATOS PESV'!C9,'DATOS PESV'!H9,IF(D19='DATOS PESV'!C10,'DATOS PESV'!H10,IF(D19='DATOS PESV'!C11,'DATOS PESV'!H11,'DATOS PESV'!H12))))))</f>
        <v>0</v>
      </c>
      <c r="E44" s="279"/>
      <c r="F44" s="279"/>
      <c r="G44" s="244"/>
      <c r="H44" s="281" t="s">
        <v>77</v>
      </c>
      <c r="I44" s="209"/>
    </row>
    <row r="45" spans="2:10" ht="35.25" thickBot="1" x14ac:dyDescent="0.3">
      <c r="B45" s="208"/>
      <c r="C45" s="206"/>
      <c r="D45" s="276" t="s">
        <v>283</v>
      </c>
      <c r="E45" s="279"/>
      <c r="F45" s="279"/>
      <c r="G45" s="244"/>
      <c r="H45" s="244"/>
      <c r="I45" s="209"/>
    </row>
    <row r="46" spans="2:10" ht="35.25" thickBot="1" x14ac:dyDescent="0.3">
      <c r="B46" s="208"/>
      <c r="C46" s="206"/>
      <c r="D46" s="276" t="s">
        <v>284</v>
      </c>
      <c r="E46" s="279"/>
      <c r="F46" s="279"/>
      <c r="G46" s="244"/>
      <c r="H46" s="282">
        <f>+H36+H30+H40+D44</f>
        <v>208331.2</v>
      </c>
      <c r="I46" s="209"/>
      <c r="J46" s="210"/>
    </row>
    <row r="47" spans="2:10" ht="18" thickBot="1" x14ac:dyDescent="0.3">
      <c r="B47" s="211"/>
      <c r="C47" s="207"/>
      <c r="D47" s="250"/>
      <c r="E47" s="280"/>
      <c r="F47" s="280"/>
      <c r="G47" s="250"/>
      <c r="H47" s="250"/>
      <c r="I47" s="212"/>
    </row>
    <row r="48" spans="2:10" x14ac:dyDescent="0.25">
      <c r="B48" s="215"/>
      <c r="C48" s="216"/>
      <c r="D48" s="388" t="s">
        <v>290</v>
      </c>
      <c r="E48" s="388"/>
      <c r="F48" s="388"/>
      <c r="G48" s="388"/>
      <c r="H48" s="388"/>
      <c r="I48" s="217"/>
    </row>
    <row r="49" spans="2:11" x14ac:dyDescent="0.25">
      <c r="B49" s="208"/>
      <c r="C49" s="206"/>
      <c r="D49" s="244"/>
      <c r="E49" s="279"/>
      <c r="F49" s="279"/>
      <c r="G49" s="244"/>
      <c r="H49" s="244"/>
      <c r="I49" s="209"/>
    </row>
    <row r="50" spans="2:11" ht="34.5" x14ac:dyDescent="0.25">
      <c r="B50" s="208"/>
      <c r="C50" s="197" t="s">
        <v>146</v>
      </c>
      <c r="D50" s="232" t="s">
        <v>291</v>
      </c>
      <c r="E50" s="236"/>
      <c r="F50" s="236"/>
      <c r="G50" s="236"/>
      <c r="H50" s="283" t="s">
        <v>297</v>
      </c>
      <c r="I50" s="209"/>
    </row>
    <row r="51" spans="2:11" ht="18" thickBot="1" x14ac:dyDescent="0.3">
      <c r="B51" s="208"/>
      <c r="C51" s="206"/>
      <c r="D51" s="244"/>
      <c r="E51" s="236"/>
      <c r="F51" s="236"/>
      <c r="G51" s="236"/>
      <c r="H51" s="244"/>
      <c r="I51" s="209"/>
    </row>
    <row r="52" spans="2:11" ht="18" thickBot="1" x14ac:dyDescent="0.3">
      <c r="B52" s="208"/>
      <c r="C52" s="197"/>
      <c r="D52" s="198" t="s">
        <v>177</v>
      </c>
      <c r="E52" s="213" t="s">
        <v>20</v>
      </c>
      <c r="F52" s="213"/>
      <c r="G52" s="213"/>
      <c r="H52" s="272" t="str">
        <f>IF(D30&lt;&gt;"",VLOOKUP(D30,'DATOS PESV'!B24:G48,6,0),"")</f>
        <v>no</v>
      </c>
      <c r="I52" s="209"/>
    </row>
    <row r="53" spans="2:11" ht="35.25" thickBot="1" x14ac:dyDescent="0.3">
      <c r="B53" s="208"/>
      <c r="C53" s="206"/>
      <c r="D53" s="244"/>
      <c r="E53" s="236"/>
      <c r="F53" s="236"/>
      <c r="G53" s="236"/>
      <c r="H53" s="241" t="s">
        <v>296</v>
      </c>
      <c r="I53" s="209"/>
    </row>
    <row r="54" spans="2:11" ht="138.75" thickBot="1" x14ac:dyDescent="0.3">
      <c r="B54" s="208"/>
      <c r="C54" s="206"/>
      <c r="D54" s="284" t="str">
        <f>+IF($D$19='DATOS PESV'!S14,"Este vehículo es de tipo administrativo y no restringe la operación por lo tanto no se tiene en cuenta para actividades a facturar de la compañía sin embargo tiene un costo indirecto de reemplazo para el desarrollo de su actividad",IF($D$19='DATOS PESV'!S15,"Este vehículo es de tipo administrativo y no restringe la operación por lo tanto no se tiene en cuenta para actividades a facturar de la compañía sin embargo tiene un costo indirecto de reemplazo para el desarrollo de su actividad",IF($D$19='DATOS PESV'!S16,"Este vehículo es de tipo administrativo y no restringe la operación por lo tanto no se tiene en cuenta para actividades a facturar de la compañía sin embargo tiene un costo indirecto de reemplazo para el desarrollo de su actividad","El rendimiento de la maquina seleccionada para esta actividad es:")))</f>
        <v>Este vehículo es de tipo administrativo y no restringe la operación por lo tanto no se tiene en cuenta para actividades a facturar de la compañía sin embargo tiene un costo indirecto de reemplazo para el desarrollo de su actividad</v>
      </c>
      <c r="E54" s="285"/>
      <c r="F54" s="285"/>
      <c r="G54" s="285"/>
      <c r="H54" s="283" t="s">
        <v>295</v>
      </c>
      <c r="I54" s="209"/>
      <c r="K54" s="214" t="s">
        <v>273</v>
      </c>
    </row>
    <row r="55" spans="2:11" ht="18" thickBot="1" x14ac:dyDescent="0.3">
      <c r="B55" s="208"/>
      <c r="C55" s="206"/>
      <c r="D55" s="286"/>
      <c r="E55" s="244"/>
      <c r="F55" s="244"/>
      <c r="G55" s="244"/>
      <c r="H55" s="244"/>
      <c r="I55" s="209"/>
    </row>
    <row r="56" spans="2:11" ht="18" thickBot="1" x14ac:dyDescent="0.3">
      <c r="B56" s="208"/>
      <c r="C56" s="206"/>
      <c r="D56" s="287">
        <f>+IF(D54=K54,0,VLOOKUP(D23,'DATOS PESV'!S34:AC40,MATCH('COSTOS POR PESV'!D52,'DATOS PESV'!T33:AC33,0)+1,0))</f>
        <v>0</v>
      </c>
      <c r="E56" s="288"/>
      <c r="F56" s="288"/>
      <c r="G56" s="244"/>
      <c r="H56" s="272">
        <f>+IF(D54=K54,0,IF(H52="NO",0,VLOOKUP(D52,'RENDIMIENTOS Y TARIFAS'!I3:K19,3,0)*D56*9.6*H19))</f>
        <v>0</v>
      </c>
      <c r="I56" s="209"/>
    </row>
    <row r="57" spans="2:11" x14ac:dyDescent="0.25">
      <c r="B57" s="208"/>
      <c r="C57" s="206"/>
      <c r="D57" s="286"/>
      <c r="E57" s="236"/>
      <c r="F57" s="236"/>
      <c r="G57" s="244"/>
      <c r="H57" s="241"/>
      <c r="I57" s="209"/>
      <c r="K57" s="205" t="s">
        <v>206</v>
      </c>
    </row>
    <row r="58" spans="2:11" ht="69" x14ac:dyDescent="0.25">
      <c r="B58" s="208"/>
      <c r="C58" s="206"/>
      <c r="D58" s="283" t="s">
        <v>292</v>
      </c>
      <c r="E58" s="386"/>
      <c r="F58" s="386"/>
      <c r="G58" s="244"/>
      <c r="H58" s="283" t="s">
        <v>213</v>
      </c>
      <c r="I58" s="209"/>
      <c r="K58" s="205">
        <f>+IF(H23&lt;D40,H23,D40)</f>
        <v>4</v>
      </c>
    </row>
    <row r="59" spans="2:11" ht="18" thickBot="1" x14ac:dyDescent="0.3">
      <c r="B59" s="208"/>
      <c r="C59" s="206"/>
      <c r="D59" s="244"/>
      <c r="E59" s="386"/>
      <c r="F59" s="386"/>
      <c r="G59" s="244"/>
      <c r="H59" s="244"/>
      <c r="I59" s="209"/>
    </row>
    <row r="60" spans="2:11" ht="18" thickBot="1" x14ac:dyDescent="0.3">
      <c r="B60" s="208"/>
      <c r="C60" s="206"/>
      <c r="D60" s="272">
        <f>+IF(D54=K54,0,IF(D36="NO",0,VLOOKUP(D52,'RENDIMIENTOS Y TARIFAS'!I3:K19,3,0)*D56*9.6*IF(H23&lt;D40,H23,D40)))</f>
        <v>0</v>
      </c>
      <c r="E60" s="387"/>
      <c r="F60" s="387"/>
      <c r="G60" s="244"/>
      <c r="H60" s="272">
        <f>+IF(D54=K54,IF(H52="si",VLOOKUP(D23,'DATOS PESV'!S21:AA23,9,0)*'COSTOS POR PESV'!H19,0),0)</f>
        <v>0</v>
      </c>
      <c r="I60" s="209"/>
    </row>
    <row r="61" spans="2:11" ht="51.75" x14ac:dyDescent="0.25">
      <c r="B61" s="208"/>
      <c r="C61" s="206"/>
      <c r="D61" s="241" t="s">
        <v>293</v>
      </c>
      <c r="E61" s="236"/>
      <c r="F61" s="236"/>
      <c r="G61" s="244"/>
      <c r="H61" s="244"/>
      <c r="I61" s="209"/>
    </row>
    <row r="62" spans="2:11" x14ac:dyDescent="0.25">
      <c r="B62" s="208"/>
      <c r="C62" s="206"/>
      <c r="D62" s="244"/>
      <c r="E62" s="236"/>
      <c r="F62" s="236"/>
      <c r="G62" s="244"/>
      <c r="H62" s="244"/>
      <c r="I62" s="209"/>
    </row>
    <row r="63" spans="2:11" ht="52.5" thickBot="1" x14ac:dyDescent="0.3">
      <c r="B63" s="208"/>
      <c r="C63" s="206"/>
      <c r="D63" s="283" t="s">
        <v>214</v>
      </c>
      <c r="E63" s="236"/>
      <c r="F63" s="236"/>
      <c r="G63" s="244"/>
      <c r="H63" s="289" t="s">
        <v>294</v>
      </c>
      <c r="I63" s="209"/>
    </row>
    <row r="64" spans="2:11" ht="18.75" thickTop="1" thickBot="1" x14ac:dyDescent="0.3">
      <c r="B64" s="208"/>
      <c r="C64" s="206"/>
      <c r="D64" s="244"/>
      <c r="E64" s="236"/>
      <c r="F64" s="236"/>
      <c r="G64" s="244"/>
      <c r="H64" s="244"/>
      <c r="I64" s="209"/>
    </row>
    <row r="65" spans="2:9" ht="18" thickBot="1" x14ac:dyDescent="0.3">
      <c r="B65" s="208"/>
      <c r="C65" s="206"/>
      <c r="D65" s="272">
        <f>+IF(D54=K54,IF(D36="si",VLOOKUP(D23,'DATOS PESV'!S21:AA23,9,0),0),0)</f>
        <v>0</v>
      </c>
      <c r="E65" s="236"/>
      <c r="F65" s="236"/>
      <c r="G65" s="244"/>
      <c r="H65" s="282">
        <f>+IF(H52="no",H60+H56+D60+D65,IF(H19&gt;K58,(H56+H60),(D60+D65)))</f>
        <v>0</v>
      </c>
      <c r="I65" s="209"/>
    </row>
    <row r="66" spans="2:9" x14ac:dyDescent="0.25">
      <c r="B66" s="208"/>
      <c r="C66" s="206"/>
      <c r="D66" s="241"/>
      <c r="E66" s="236"/>
      <c r="F66" s="236"/>
      <c r="G66" s="244"/>
      <c r="H66" s="276"/>
      <c r="I66" s="209"/>
    </row>
    <row r="67" spans="2:9" ht="18" thickBot="1" x14ac:dyDescent="0.3">
      <c r="B67" s="211"/>
      <c r="C67" s="207"/>
      <c r="D67" s="250"/>
      <c r="E67" s="249"/>
      <c r="F67" s="249"/>
      <c r="G67" s="250"/>
      <c r="H67" s="250"/>
      <c r="I67" s="212"/>
    </row>
    <row r="68" spans="2:9" x14ac:dyDescent="0.25">
      <c r="B68" s="215"/>
      <c r="C68" s="216"/>
      <c r="D68" s="360" t="s">
        <v>298</v>
      </c>
      <c r="E68" s="360"/>
      <c r="F68" s="360"/>
      <c r="G68" s="360"/>
      <c r="H68" s="360"/>
      <c r="I68" s="217"/>
    </row>
    <row r="69" spans="2:9" x14ac:dyDescent="0.25">
      <c r="B69" s="208"/>
      <c r="C69" s="206"/>
      <c r="D69" s="244"/>
      <c r="E69" s="244"/>
      <c r="F69" s="244"/>
      <c r="G69" s="244"/>
      <c r="H69" s="279"/>
      <c r="I69" s="209"/>
    </row>
    <row r="70" spans="2:9" ht="37.5" customHeight="1" x14ac:dyDescent="0.25">
      <c r="B70" s="208"/>
      <c r="C70" s="206"/>
      <c r="D70" s="385" t="s">
        <v>299</v>
      </c>
      <c r="E70" s="385"/>
      <c r="F70" s="385"/>
      <c r="G70" s="385"/>
      <c r="H70" s="385"/>
      <c r="I70" s="209"/>
    </row>
    <row r="71" spans="2:9" x14ac:dyDescent="0.25">
      <c r="B71" s="208"/>
      <c r="C71" s="206"/>
      <c r="D71" s="279"/>
      <c r="E71" s="244"/>
      <c r="F71" s="244"/>
      <c r="G71" s="244"/>
      <c r="H71" s="244"/>
      <c r="I71" s="209"/>
    </row>
    <row r="72" spans="2:9" ht="34.5" x14ac:dyDescent="0.25">
      <c r="B72" s="208"/>
      <c r="C72" s="197" t="s">
        <v>165</v>
      </c>
      <c r="D72" s="232" t="s">
        <v>302</v>
      </c>
      <c r="E72" s="290"/>
      <c r="F72" s="290"/>
      <c r="G72" s="262" t="s">
        <v>207</v>
      </c>
      <c r="H72" s="232" t="s">
        <v>309</v>
      </c>
      <c r="I72" s="209"/>
    </row>
    <row r="73" spans="2:9" ht="18" thickBot="1" x14ac:dyDescent="0.3">
      <c r="B73" s="208"/>
      <c r="C73" s="206"/>
      <c r="D73" s="244"/>
      <c r="E73" s="236"/>
      <c r="F73" s="236"/>
      <c r="G73" s="244"/>
      <c r="H73" s="244"/>
      <c r="I73" s="209"/>
    </row>
    <row r="74" spans="2:9" ht="18" thickBot="1" x14ac:dyDescent="0.3">
      <c r="B74" s="208"/>
      <c r="C74" s="206"/>
      <c r="D74" s="204" t="s">
        <v>80</v>
      </c>
      <c r="E74" s="236" t="s">
        <v>20</v>
      </c>
      <c r="F74" s="236"/>
      <c r="G74" s="279"/>
      <c r="H74" s="199">
        <v>150000000</v>
      </c>
      <c r="I74" s="196" t="s">
        <v>20</v>
      </c>
    </row>
    <row r="75" spans="2:9" x14ac:dyDescent="0.25">
      <c r="B75" s="208"/>
      <c r="C75" s="206"/>
      <c r="D75" s="244"/>
      <c r="E75" s="236"/>
      <c r="F75" s="236"/>
      <c r="G75" s="279"/>
      <c r="H75" s="244"/>
      <c r="I75" s="196"/>
    </row>
    <row r="76" spans="2:9" ht="34.5" x14ac:dyDescent="0.25">
      <c r="B76" s="208"/>
      <c r="C76" s="197" t="s">
        <v>208</v>
      </c>
      <c r="D76" s="232" t="s">
        <v>274</v>
      </c>
      <c r="E76" s="290"/>
      <c r="F76" s="290"/>
      <c r="G76" s="236"/>
      <c r="H76" s="341" t="s">
        <v>308</v>
      </c>
      <c r="I76" s="196"/>
    </row>
    <row r="77" spans="2:9" ht="18" thickBot="1" x14ac:dyDescent="0.3">
      <c r="B77" s="208"/>
      <c r="C77" s="206"/>
      <c r="D77" s="244"/>
      <c r="E77" s="236"/>
      <c r="F77" s="236"/>
      <c r="G77" s="236"/>
      <c r="H77" s="244"/>
      <c r="I77" s="209"/>
    </row>
    <row r="78" spans="2:9" ht="18" thickBot="1" x14ac:dyDescent="0.3">
      <c r="B78" s="208"/>
      <c r="C78" s="206"/>
      <c r="D78" s="204" t="s">
        <v>105</v>
      </c>
      <c r="E78" s="236" t="s">
        <v>20</v>
      </c>
      <c r="F78" s="236"/>
      <c r="G78" s="236"/>
      <c r="H78" s="282">
        <f>+H74*0.07</f>
        <v>10500000.000000002</v>
      </c>
      <c r="I78" s="209"/>
    </row>
    <row r="79" spans="2:9" x14ac:dyDescent="0.25">
      <c r="B79" s="208"/>
      <c r="C79" s="206"/>
      <c r="D79" s="244"/>
      <c r="E79" s="244"/>
      <c r="F79" s="244"/>
      <c r="G79" s="236"/>
      <c r="H79" s="244"/>
      <c r="I79" s="209"/>
    </row>
    <row r="80" spans="2:9" ht="51.75" x14ac:dyDescent="0.25">
      <c r="B80" s="208"/>
      <c r="C80" s="197" t="s">
        <v>209</v>
      </c>
      <c r="D80" s="232" t="s">
        <v>303</v>
      </c>
      <c r="E80" s="244"/>
      <c r="F80" s="244"/>
      <c r="G80" s="236"/>
      <c r="H80" s="341" t="s">
        <v>301</v>
      </c>
      <c r="I80" s="209"/>
    </row>
    <row r="81" spans="2:9" ht="18" thickBot="1" x14ac:dyDescent="0.3">
      <c r="B81" s="208"/>
      <c r="C81" s="206"/>
      <c r="D81" s="244"/>
      <c r="E81" s="244"/>
      <c r="F81" s="244"/>
      <c r="G81" s="244"/>
      <c r="H81" s="244"/>
      <c r="I81" s="209"/>
    </row>
    <row r="82" spans="2:9" ht="18" thickBot="1" x14ac:dyDescent="0.3">
      <c r="B82" s="208"/>
      <c r="C82" s="206"/>
      <c r="D82" s="199">
        <v>45000000</v>
      </c>
      <c r="E82" s="244" t="s">
        <v>20</v>
      </c>
      <c r="F82" s="244"/>
      <c r="G82" s="244"/>
      <c r="H82" s="282">
        <f>+IF(D74="no",0,H78*0.2)</f>
        <v>0</v>
      </c>
      <c r="I82" s="209"/>
    </row>
    <row r="83" spans="2:9" ht="34.5" x14ac:dyDescent="0.25">
      <c r="B83" s="208"/>
      <c r="C83" s="206"/>
      <c r="D83" s="244" t="s">
        <v>304</v>
      </c>
      <c r="E83" s="244"/>
      <c r="F83" s="244"/>
      <c r="G83" s="244"/>
      <c r="H83" s="276" t="s">
        <v>300</v>
      </c>
      <c r="I83" s="209"/>
    </row>
    <row r="84" spans="2:9" ht="51.75" x14ac:dyDescent="0.25">
      <c r="B84" s="208"/>
      <c r="C84" s="197" t="s">
        <v>210</v>
      </c>
      <c r="D84" s="232" t="s">
        <v>305</v>
      </c>
      <c r="E84" s="244"/>
      <c r="F84" s="244"/>
      <c r="G84" s="244"/>
      <c r="H84" s="291" t="s">
        <v>211</v>
      </c>
      <c r="I84" s="209"/>
    </row>
    <row r="85" spans="2:9" ht="18" thickBot="1" x14ac:dyDescent="0.3">
      <c r="B85" s="208"/>
      <c r="C85" s="206"/>
      <c r="D85" s="244"/>
      <c r="E85" s="244"/>
      <c r="F85" s="244"/>
      <c r="G85" s="244"/>
      <c r="H85" s="244"/>
      <c r="I85" s="209"/>
    </row>
    <row r="86" spans="2:9" ht="18" thickBot="1" x14ac:dyDescent="0.3">
      <c r="B86" s="208"/>
      <c r="C86" s="206"/>
      <c r="D86" s="199">
        <v>12000000</v>
      </c>
      <c r="E86" s="244" t="s">
        <v>20</v>
      </c>
      <c r="F86" s="244"/>
      <c r="G86" s="244"/>
      <c r="H86" s="282">
        <f>+IF(D74="si",IF(D86=0,0,IF(D86*0.1&lt;'DATOS PESV'!K3,'DATOS PESV'!K3,D86*0.1)),IF(D86=0,0,D86))</f>
        <v>12000000</v>
      </c>
      <c r="I86" s="209"/>
    </row>
    <row r="87" spans="2:9" ht="34.5" x14ac:dyDescent="0.25">
      <c r="B87" s="208"/>
      <c r="C87" s="206"/>
      <c r="D87" s="244"/>
      <c r="E87" s="244"/>
      <c r="F87" s="244"/>
      <c r="G87" s="244"/>
      <c r="H87" s="276" t="s">
        <v>300</v>
      </c>
      <c r="I87" s="209"/>
    </row>
    <row r="88" spans="2:9" ht="52.5" thickBot="1" x14ac:dyDescent="0.3">
      <c r="B88" s="208"/>
      <c r="C88" s="206"/>
      <c r="D88" s="291" t="s">
        <v>306</v>
      </c>
      <c r="E88" s="244"/>
      <c r="F88" s="244"/>
      <c r="G88" s="244"/>
      <c r="H88" s="292" t="s">
        <v>350</v>
      </c>
      <c r="I88" s="209"/>
    </row>
    <row r="89" spans="2:9" ht="18.75" thickTop="1" thickBot="1" x14ac:dyDescent="0.3">
      <c r="B89" s="208"/>
      <c r="C89" s="206"/>
      <c r="D89" s="244"/>
      <c r="E89" s="244"/>
      <c r="F89" s="244"/>
      <c r="G89" s="244"/>
      <c r="H89" s="244"/>
      <c r="I89" s="209"/>
    </row>
    <row r="90" spans="2:9" ht="18" thickBot="1" x14ac:dyDescent="0.3">
      <c r="B90" s="208"/>
      <c r="C90" s="206"/>
      <c r="D90" s="282">
        <f>+IF(D74="si",IF(D78='DATOS PESV'!K2,'COSTOS POR PESV'!H74*0.1,IF('COSTOS POR PESV'!D78='DATOS PESV'!J2,IF('COSTOS POR PESV'!D82*0.1&lt;'DATOS PESV'!K3,'DATOS PESV'!K3,'COSTOS POR PESV'!D82*0.1),0)),IF(D78='DATOS PESV'!K2,'COSTOS POR PESV'!H74,D82))</f>
        <v>45000000</v>
      </c>
      <c r="E90" s="244"/>
      <c r="F90" s="244"/>
      <c r="G90" s="244"/>
      <c r="H90" s="293">
        <f>+H86+D90</f>
        <v>57000000</v>
      </c>
      <c r="I90" s="209"/>
    </row>
    <row r="91" spans="2:9" ht="18" thickBot="1" x14ac:dyDescent="0.3">
      <c r="B91" s="211"/>
      <c r="C91" s="207"/>
      <c r="D91" s="250" t="s">
        <v>307</v>
      </c>
      <c r="E91" s="250"/>
      <c r="F91" s="250"/>
      <c r="G91" s="250"/>
      <c r="H91" s="294"/>
      <c r="I91" s="212"/>
    </row>
    <row r="92" spans="2:9" x14ac:dyDescent="0.25">
      <c r="B92" s="208"/>
      <c r="C92" s="206"/>
      <c r="D92" s="365" t="s">
        <v>94</v>
      </c>
      <c r="E92" s="365"/>
      <c r="F92" s="365"/>
      <c r="G92" s="365"/>
      <c r="H92" s="365"/>
      <c r="I92" s="209"/>
    </row>
    <row r="93" spans="2:9" x14ac:dyDescent="0.25">
      <c r="B93" s="208"/>
      <c r="C93" s="206"/>
      <c r="D93" s="244"/>
      <c r="E93" s="244"/>
      <c r="F93" s="244"/>
      <c r="G93" s="244"/>
      <c r="H93" s="279"/>
      <c r="I93" s="209"/>
    </row>
    <row r="94" spans="2:9" ht="49.5" customHeight="1" x14ac:dyDescent="0.25">
      <c r="B94" s="208"/>
      <c r="C94" s="206"/>
      <c r="D94" s="385" t="s">
        <v>310</v>
      </c>
      <c r="E94" s="385"/>
      <c r="F94" s="385"/>
      <c r="G94" s="385"/>
      <c r="H94" s="385"/>
      <c r="I94" s="209"/>
    </row>
    <row r="95" spans="2:9" x14ac:dyDescent="0.25">
      <c r="B95" s="208"/>
      <c r="C95" s="206"/>
      <c r="D95" s="244"/>
      <c r="E95" s="285"/>
      <c r="F95" s="285"/>
      <c r="G95" s="285"/>
      <c r="H95" s="244"/>
      <c r="I95" s="209"/>
    </row>
    <row r="96" spans="2:9" x14ac:dyDescent="0.25">
      <c r="B96" s="208"/>
      <c r="C96" s="197" t="s">
        <v>236</v>
      </c>
      <c r="D96" s="231" t="s">
        <v>95</v>
      </c>
      <c r="E96" s="244"/>
      <c r="F96" s="244"/>
      <c r="G96" s="262" t="s">
        <v>238</v>
      </c>
      <c r="H96" s="231" t="s">
        <v>313</v>
      </c>
      <c r="I96" s="209"/>
    </row>
    <row r="97" spans="2:9" ht="18" thickBot="1" x14ac:dyDescent="0.3">
      <c r="B97" s="208"/>
      <c r="C97" s="206"/>
      <c r="D97" s="244"/>
      <c r="E97" s="279"/>
      <c r="F97" s="279"/>
      <c r="G97" s="279"/>
      <c r="H97" s="244"/>
      <c r="I97" s="209"/>
    </row>
    <row r="98" spans="2:9" ht="18" thickBot="1" x14ac:dyDescent="0.3">
      <c r="B98" s="208"/>
      <c r="C98" s="206"/>
      <c r="D98" s="198" t="s">
        <v>98</v>
      </c>
      <c r="E98" s="244" t="s">
        <v>20</v>
      </c>
      <c r="F98" s="244"/>
      <c r="G98" s="244"/>
      <c r="H98" s="198">
        <v>3</v>
      </c>
      <c r="I98" s="209" t="s">
        <v>20</v>
      </c>
    </row>
    <row r="99" spans="2:9" x14ac:dyDescent="0.25">
      <c r="B99" s="208"/>
      <c r="C99" s="206"/>
      <c r="D99" s="244"/>
      <c r="E99" s="244"/>
      <c r="F99" s="244"/>
      <c r="G99" s="244"/>
      <c r="H99" s="244"/>
      <c r="I99" s="196"/>
    </row>
    <row r="100" spans="2:9" ht="34.5" x14ac:dyDescent="0.25">
      <c r="B100" s="208"/>
      <c r="C100" s="197" t="s">
        <v>237</v>
      </c>
      <c r="D100" s="231" t="s">
        <v>99</v>
      </c>
      <c r="E100" s="244"/>
      <c r="F100" s="244"/>
      <c r="G100" s="262" t="s">
        <v>239</v>
      </c>
      <c r="H100" s="232" t="s">
        <v>100</v>
      </c>
      <c r="I100" s="196"/>
    </row>
    <row r="101" spans="2:9" ht="18" thickBot="1" x14ac:dyDescent="0.3">
      <c r="B101" s="208"/>
      <c r="C101" s="206"/>
      <c r="D101" s="244"/>
      <c r="E101" s="244"/>
      <c r="F101" s="244"/>
      <c r="G101" s="244"/>
      <c r="H101" s="244"/>
      <c r="I101" s="196"/>
    </row>
    <row r="102" spans="2:9" ht="18" thickBot="1" x14ac:dyDescent="0.3">
      <c r="B102" s="208"/>
      <c r="C102" s="206"/>
      <c r="D102" s="198" t="s">
        <v>2</v>
      </c>
      <c r="E102" s="244" t="s">
        <v>20</v>
      </c>
      <c r="F102" s="244"/>
      <c r="G102" s="244"/>
      <c r="H102" s="198" t="s">
        <v>177</v>
      </c>
      <c r="I102" s="209" t="s">
        <v>20</v>
      </c>
    </row>
    <row r="103" spans="2:9" ht="34.5" x14ac:dyDescent="0.25">
      <c r="B103" s="208"/>
      <c r="C103" s="206"/>
      <c r="D103" s="295" t="s">
        <v>311</v>
      </c>
      <c r="E103" s="244"/>
      <c r="F103" s="244"/>
      <c r="G103" s="244"/>
      <c r="H103" s="298" t="s">
        <v>312</v>
      </c>
      <c r="I103" s="196"/>
    </row>
    <row r="104" spans="2:9" x14ac:dyDescent="0.25">
      <c r="B104" s="208"/>
      <c r="C104" s="206"/>
      <c r="D104" s="296" t="s">
        <v>101</v>
      </c>
      <c r="E104" s="244"/>
      <c r="F104" s="244"/>
      <c r="G104" s="244"/>
      <c r="H104" s="296" t="s">
        <v>102</v>
      </c>
      <c r="I104" s="196"/>
    </row>
    <row r="105" spans="2:9" ht="18" thickBot="1" x14ac:dyDescent="0.3">
      <c r="B105" s="208"/>
      <c r="C105" s="206"/>
      <c r="D105" s="244"/>
      <c r="E105" s="244"/>
      <c r="F105" s="244"/>
      <c r="G105" s="244"/>
      <c r="H105" s="244"/>
      <c r="I105" s="196"/>
    </row>
    <row r="106" spans="2:9" ht="18" thickBot="1" x14ac:dyDescent="0.3">
      <c r="B106" s="208"/>
      <c r="C106" s="206"/>
      <c r="D106" s="297">
        <f>+VLOOKUP(D102,'DATOS PESV'!S34:AC40,MATCH('COSTOS POR PESV'!H102,'DATOS PESV'!T33:AC33,0)+1,0)</f>
        <v>20</v>
      </c>
      <c r="E106" s="244"/>
      <c r="F106" s="244"/>
      <c r="G106" s="244"/>
      <c r="H106" s="272">
        <f>IF(H102&lt;&gt;"",VLOOKUP(H102,'RENDIMIENTOS Y TARIFAS'!I3:K15,3,0),"")</f>
        <v>125771</v>
      </c>
      <c r="I106" s="209"/>
    </row>
    <row r="107" spans="2:9" x14ac:dyDescent="0.25">
      <c r="B107" s="208"/>
      <c r="C107" s="206"/>
      <c r="D107" s="244"/>
      <c r="E107" s="244"/>
      <c r="F107" s="244"/>
      <c r="G107" s="244"/>
      <c r="H107" s="244"/>
      <c r="I107" s="209"/>
    </row>
    <row r="108" spans="2:9" ht="35.25" thickBot="1" x14ac:dyDescent="0.3">
      <c r="B108" s="208"/>
      <c r="C108" s="206"/>
      <c r="D108" s="292" t="s">
        <v>103</v>
      </c>
      <c r="E108" s="244"/>
      <c r="F108" s="244"/>
      <c r="G108" s="244"/>
      <c r="H108" s="244"/>
      <c r="I108" s="209"/>
    </row>
    <row r="109" spans="2:9" ht="18.75" thickTop="1" thickBot="1" x14ac:dyDescent="0.3">
      <c r="B109" s="208"/>
      <c r="C109" s="206"/>
      <c r="D109" s="244"/>
      <c r="E109" s="244"/>
      <c r="F109" s="244"/>
      <c r="G109" s="244"/>
      <c r="H109" s="244"/>
      <c r="I109" s="209"/>
    </row>
    <row r="110" spans="2:9" ht="50.25" customHeight="1" thickBot="1" x14ac:dyDescent="0.3">
      <c r="B110" s="208"/>
      <c r="C110" s="206"/>
      <c r="D110" s="299">
        <f>+IF(D98="Preventivo","Un mantenimiento preventivo no genera alto inesperados en obra",IF(D98="Correctivo",D106*H106*H98,0))</f>
        <v>7546260</v>
      </c>
      <c r="E110" s="244"/>
      <c r="F110" s="244"/>
      <c r="G110" s="244"/>
      <c r="H110" s="244"/>
      <c r="I110" s="209"/>
    </row>
    <row r="111" spans="2:9" x14ac:dyDescent="0.25">
      <c r="B111" s="208"/>
      <c r="C111" s="206"/>
      <c r="D111" s="244"/>
      <c r="E111" s="244"/>
      <c r="F111" s="244"/>
      <c r="G111" s="244"/>
      <c r="H111" s="244"/>
      <c r="I111" s="209"/>
    </row>
    <row r="112" spans="2:9" x14ac:dyDescent="0.25">
      <c r="B112" s="208"/>
      <c r="C112" s="206"/>
      <c r="D112" s="244"/>
      <c r="E112" s="244"/>
      <c r="F112" s="244"/>
      <c r="G112" s="244"/>
      <c r="H112" s="244"/>
      <c r="I112" s="209"/>
    </row>
    <row r="113" spans="2:9" x14ac:dyDescent="0.25">
      <c r="B113" s="208"/>
      <c r="C113" s="206"/>
      <c r="D113" s="244"/>
      <c r="E113" s="244"/>
      <c r="F113" s="244"/>
      <c r="G113" s="244"/>
      <c r="H113" s="244"/>
      <c r="I113" s="209"/>
    </row>
    <row r="114" spans="2:9" ht="18" thickBot="1" x14ac:dyDescent="0.3">
      <c r="B114" s="211"/>
      <c r="C114" s="207"/>
      <c r="D114" s="250"/>
      <c r="E114" s="250"/>
      <c r="F114" s="250"/>
      <c r="G114" s="250"/>
      <c r="H114" s="250"/>
      <c r="I114" s="212"/>
    </row>
    <row r="116" spans="2:9" x14ac:dyDescent="0.2">
      <c r="D116" s="346" t="s">
        <v>356</v>
      </c>
    </row>
    <row r="117" spans="2:9" x14ac:dyDescent="0.2">
      <c r="D117" s="346" t="s">
        <v>357</v>
      </c>
    </row>
    <row r="118" spans="2:9" x14ac:dyDescent="0.2">
      <c r="D118" s="346" t="s">
        <v>358</v>
      </c>
    </row>
    <row r="119" spans="2:9" x14ac:dyDescent="0.2">
      <c r="D119" s="346" t="s">
        <v>359</v>
      </c>
    </row>
    <row r="120" spans="2:9" x14ac:dyDescent="0.2">
      <c r="D120" s="346" t="s">
        <v>360</v>
      </c>
    </row>
    <row r="121" spans="2:9" x14ac:dyDescent="0.2">
      <c r="D121" s="347" t="s">
        <v>361</v>
      </c>
    </row>
    <row r="122" spans="2:9" x14ac:dyDescent="0.2">
      <c r="D122" s="348" t="s">
        <v>353</v>
      </c>
    </row>
    <row r="123" spans="2:9" x14ac:dyDescent="0.25">
      <c r="D123" s="349"/>
    </row>
  </sheetData>
  <sheetProtection algorithmName="SHA-512" hashValue="V9h8vns5zv30lusxs7ACtFnRBp4C4bXShXJh5cTGFuD8HvtL9HfRfqvgiiVViybZ5BxSoLccaeH9YxkHg8nOMg==" saltValue="CNlsxvdLWPskAMGyjLDi9Q==" spinCount="100000" sheet="1" objects="1" scenarios="1"/>
  <mergeCells count="13">
    <mergeCell ref="D48:H48"/>
    <mergeCell ref="D11:H11"/>
    <mergeCell ref="D15:H15"/>
    <mergeCell ref="D13:H13"/>
    <mergeCell ref="D26:H26"/>
    <mergeCell ref="E28:F28"/>
    <mergeCell ref="D68:H68"/>
    <mergeCell ref="D92:H92"/>
    <mergeCell ref="D94:H94"/>
    <mergeCell ref="D70:H70"/>
    <mergeCell ref="E58:F58"/>
    <mergeCell ref="E59:F59"/>
    <mergeCell ref="E60:F60"/>
  </mergeCells>
  <conditionalFormatting sqref="D80">
    <cfRule type="containsText" dxfId="13" priority="17" operator="containsText" text="Perida total">
      <formula>NOT(ISERROR(SEARCH("Perida total",D80)))</formula>
    </cfRule>
  </conditionalFormatting>
  <conditionalFormatting sqref="D40 D44 H36 H40">
    <cfRule type="expression" dxfId="12" priority="14">
      <formula>$D$36=$L$10</formula>
    </cfRule>
  </conditionalFormatting>
  <conditionalFormatting sqref="H56">
    <cfRule type="expression" dxfId="11" priority="10">
      <formula>$H$52=$L$10</formula>
    </cfRule>
  </conditionalFormatting>
  <conditionalFormatting sqref="D60">
    <cfRule type="expression" dxfId="10" priority="9">
      <formula>$D$36=$L$10</formula>
    </cfRule>
  </conditionalFormatting>
  <conditionalFormatting sqref="H65">
    <cfRule type="expression" dxfId="9" priority="8">
      <formula>($D$60+$H$56+$D$65+$H$60)=$J$46</formula>
    </cfRule>
  </conditionalFormatting>
  <conditionalFormatting sqref="H82">
    <cfRule type="expression" dxfId="8" priority="7">
      <formula>$D$74="no"</formula>
    </cfRule>
  </conditionalFormatting>
  <conditionalFormatting sqref="D65">
    <cfRule type="expression" dxfId="7" priority="6">
      <formula>$D$36=$L$10</formula>
    </cfRule>
  </conditionalFormatting>
  <conditionalFormatting sqref="H60">
    <cfRule type="expression" dxfId="6" priority="4">
      <formula>$H$52=$L$10</formula>
    </cfRule>
  </conditionalFormatting>
  <conditionalFormatting sqref="D52">
    <cfRule type="expression" dxfId="5" priority="1">
      <formula>$D$36=$L$10</formula>
    </cfRule>
  </conditionalFormatting>
  <dataValidations count="3">
    <dataValidation showInputMessage="1" showErrorMessage="1" sqref="H74 D86 D56 D82"/>
    <dataValidation type="list" showInputMessage="1" showErrorMessage="1" sqref="H98">
      <formula1>$J$9:$J$18</formula1>
    </dataValidation>
    <dataValidation type="list" showInputMessage="1" showErrorMessage="1" sqref="D74">
      <formula1>$K$10:$M$10</formula1>
    </dataValidation>
  </dataValidations>
  <pageMargins left="0.7" right="0.7" top="0.75" bottom="0.75" header="0.3" footer="0.3"/>
  <pageSetup scale="48" orientation="portrait" horizontalDpi="4294967293" r:id="rId1"/>
  <rowBreaks count="2" manualBreakCount="2">
    <brk id="47" max="8" man="1"/>
    <brk id="91" max="8" man="1"/>
  </rowBreaks>
  <ignoredErrors>
    <ignoredError sqref="C17 C21 G17 G21 C28 C50 C72 C76 C80 G72 C84 C96 C100 G100 G96" numberStoredAsText="1"/>
    <ignoredError sqref="H46 H30 D36 H52 D54 H56 H65 H60 D60 H78 D90 D106 D110 H106 H36 H40 D44" unlocked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16" id="{52DA906F-A8C6-4247-96FC-804596790EF7}">
            <xm:f>$D$78='DATOS PESV'!$K$2</xm:f>
            <x14:dxf>
              <fill>
                <patternFill>
                  <bgColor theme="0" tint="-0.34998626667073579"/>
                </patternFill>
              </fill>
            </x14:dxf>
          </x14:cfRule>
          <x14:cfRule type="cellIs" priority="18" operator="equal" id="{31BCEF34-9CB0-4F7F-A2AA-E6E851B8635C}">
            <xm:f>$D$78='DATOS PESV'!$K$2</xm:f>
            <x14:dxf>
              <fill>
                <patternFill>
                  <bgColor theme="2" tint="-0.24994659260841701"/>
                </patternFill>
              </fill>
            </x14:dxf>
          </x14:cfRule>
          <xm:sqref>D80</xm:sqref>
        </x14:conditionalFormatting>
        <x14:conditionalFormatting xmlns:xm="http://schemas.microsoft.com/office/excel/2006/main">
          <x14:cfRule type="expression" priority="15" id="{5C609E95-131E-418B-A3AC-12369E558182}">
            <xm:f>$D$78='DATOS PESV'!$K$2</xm:f>
            <x14:dxf>
              <font>
                <strike/>
              </font>
              <fill>
                <patternFill>
                  <bgColor theme="2" tint="-0.24994659260841701"/>
                </patternFill>
              </fill>
            </x14:dxf>
          </x14:cfRule>
          <xm:sqref>D82</xm:sqref>
        </x14:conditionalFormatting>
        <x14:conditionalFormatting xmlns:xm="http://schemas.microsoft.com/office/excel/2006/main">
          <x14:cfRule type="expression" priority="3" id="{7F731BE9-322F-4F9D-9EEF-826776A0E65F}">
            <xm:f>$D$19='DATOS PESV'!$S$17</xm:f>
            <x14:dxf>
              <font>
                <strike/>
              </font>
              <fill>
                <patternFill>
                  <bgColor theme="2" tint="-0.499984740745262"/>
                </patternFill>
              </fill>
            </x14:dxf>
          </x14:cfRule>
          <xm:sqref>D65</xm:sqref>
        </x14:conditionalFormatting>
        <x14:conditionalFormatting xmlns:xm="http://schemas.microsoft.com/office/excel/2006/main">
          <x14:cfRule type="expression" priority="2" id="{6F27B32A-4421-4FB5-804F-16475C51A184}">
            <xm:f>$D$19='DATOS PESV'!$S$17</xm:f>
            <x14:dxf>
              <font>
                <strike/>
              </font>
              <fill>
                <patternFill>
                  <bgColor theme="2" tint="-0.499984740745262"/>
                </patternFill>
              </fill>
            </x14:dxf>
          </x14:cfRule>
          <xm:sqref>H60</xm:sqref>
        </x14:conditionalFormatting>
      </x14:conditionalFormattings>
    </ext>
    <ext xmlns:x14="http://schemas.microsoft.com/office/spreadsheetml/2009/9/main" uri="{CCE6A557-97BC-4b89-ADB6-D9C93CAAB3DF}">
      <x14:dataValidations xmlns:xm="http://schemas.microsoft.com/office/excel/2006/main" count="9">
        <x14:dataValidation type="list" showInputMessage="1" showErrorMessage="1">
          <x14:formula1>
            <xm:f>'DATOS PESV'!$A$2:$A$363</xm:f>
          </x14:formula1>
          <xm:sqref>H19 H23 D40</xm:sqref>
        </x14:dataValidation>
        <x14:dataValidation type="list" showInputMessage="1" showErrorMessage="1">
          <x14:formula1>
            <xm:f>'DATOS PESV'!$C$8:$C$12</xm:f>
          </x14:formula1>
          <xm:sqref>D19</xm:sqref>
        </x14:dataValidation>
        <x14:dataValidation type="list" showInputMessage="1" showErrorMessage="1">
          <x14:formula1>
            <xm:f>'DATOS PESV'!$J$2:$L$2</xm:f>
          </x14:formula1>
          <xm:sqref>D78</xm:sqref>
        </x14:dataValidation>
        <x14:dataValidation type="list" showInputMessage="1" showErrorMessage="1">
          <x14:formula1>
            <xm:f>'DATOS PESV'!$Q$2:$Q$4</xm:f>
          </x14:formula1>
          <xm:sqref>D98</xm:sqref>
        </x14:dataValidation>
        <x14:dataValidation type="list" showInputMessage="1" showErrorMessage="1">
          <x14:formula1>
            <xm:f>'DATOS PESV'!$S$24:$S$30</xm:f>
          </x14:formula1>
          <xm:sqref>D102</xm:sqref>
        </x14:dataValidation>
        <x14:dataValidation type="list" showInputMessage="1" showErrorMessage="1">
          <x14:formula1>
            <xm:f>'DATOS PESV'!$T$53:$Z$53</xm:f>
          </x14:formula1>
          <xm:sqref>H102</xm:sqref>
        </x14:dataValidation>
        <x14:dataValidation type="list" allowBlank="1" showInputMessage="1" showErrorMessage="1">
          <x14:formula1>
            <xm:f>'DATOS PESV'!$T$31:$Z$31</xm:f>
          </x14:formula1>
          <xm:sqref>D52</xm:sqref>
        </x14:dataValidation>
        <x14:dataValidation type="list" showInputMessage="1" showErrorMessage="1">
          <x14:formula1>
            <xm:f>'DATOS PESV'!$B$24:$B$46</xm:f>
          </x14:formula1>
          <xm:sqref>D30</xm:sqref>
        </x14:dataValidation>
        <x14:dataValidation type="list" showInputMessage="1" showErrorMessage="1">
          <x14:formula1>
            <xm:f>'DATOS PESV'!$T$18:$Z$18</xm:f>
          </x14:formula1>
          <xm:sqref>D23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2"/>
  <sheetViews>
    <sheetView topLeftCell="P43" zoomScale="80" zoomScaleNormal="80" workbookViewId="0">
      <selection activeCell="V28" sqref="V28"/>
    </sheetView>
  </sheetViews>
  <sheetFormatPr baseColWidth="10" defaultRowHeight="15" x14ac:dyDescent="0.25"/>
  <cols>
    <col min="1" max="1" width="15" customWidth="1"/>
    <col min="3" max="3" width="35.42578125" bestFit="1" customWidth="1"/>
    <col min="4" max="4" width="13.85546875" bestFit="1" customWidth="1"/>
    <col min="5" max="5" width="16.140625" customWidth="1"/>
    <col min="6" max="6" width="14.5703125" bestFit="1" customWidth="1"/>
    <col min="7" max="7" width="17.28515625" bestFit="1" customWidth="1"/>
    <col min="8" max="8" width="13.85546875" bestFit="1" customWidth="1"/>
    <col min="11" max="11" width="15.5703125" bestFit="1" customWidth="1"/>
    <col min="14" max="14" width="16.5703125" bestFit="1" customWidth="1"/>
    <col min="17" max="17" width="21.85546875" bestFit="1" customWidth="1"/>
    <col min="19" max="19" width="34.5703125" customWidth="1"/>
    <col min="20" max="20" width="30.42578125" customWidth="1"/>
    <col min="21" max="21" width="35.85546875" bestFit="1" customWidth="1"/>
    <col min="22" max="22" width="32.85546875" bestFit="1" customWidth="1"/>
    <col min="23" max="23" width="18.5703125" customWidth="1"/>
    <col min="24" max="24" width="24" customWidth="1"/>
    <col min="25" max="25" width="20.5703125" customWidth="1"/>
    <col min="26" max="26" width="23.85546875" bestFit="1" customWidth="1"/>
    <col min="27" max="27" width="13.5703125" bestFit="1" customWidth="1"/>
  </cols>
  <sheetData>
    <row r="1" spans="1:26" x14ac:dyDescent="0.25">
      <c r="A1" t="s">
        <v>57</v>
      </c>
      <c r="J1" s="394" t="s">
        <v>92</v>
      </c>
      <c r="K1" s="394"/>
      <c r="L1" s="394"/>
      <c r="N1" s="34" t="s">
        <v>93</v>
      </c>
      <c r="Q1" s="34" t="s">
        <v>96</v>
      </c>
      <c r="S1" s="61"/>
      <c r="T1" s="2"/>
      <c r="U1" s="395"/>
      <c r="V1" s="395"/>
    </row>
    <row r="2" spans="1:26" x14ac:dyDescent="0.25">
      <c r="A2">
        <v>0</v>
      </c>
      <c r="C2" s="34" t="s">
        <v>51</v>
      </c>
      <c r="J2" s="27" t="s">
        <v>105</v>
      </c>
      <c r="K2" s="27" t="s">
        <v>106</v>
      </c>
      <c r="L2" s="27"/>
      <c r="N2" s="30">
        <v>1000000</v>
      </c>
      <c r="Q2" s="27" t="s">
        <v>97</v>
      </c>
      <c r="S2" s="61"/>
      <c r="T2" s="64"/>
      <c r="U2" s="95"/>
      <c r="V2" s="2"/>
    </row>
    <row r="3" spans="1:26" x14ac:dyDescent="0.25">
      <c r="A3">
        <v>1</v>
      </c>
      <c r="C3" s="27" t="s">
        <v>52</v>
      </c>
      <c r="J3" s="34" t="s">
        <v>107</v>
      </c>
      <c r="K3" s="30">
        <f>+D21*3</f>
        <v>2343726</v>
      </c>
      <c r="N3" s="30">
        <v>2000000</v>
      </c>
      <c r="Q3" s="27" t="s">
        <v>98</v>
      </c>
      <c r="S3" s="61"/>
      <c r="T3" s="64"/>
      <c r="U3" s="95"/>
      <c r="V3" s="95"/>
    </row>
    <row r="4" spans="1:26" x14ac:dyDescent="0.25">
      <c r="A4">
        <v>2</v>
      </c>
      <c r="C4" s="27" t="s">
        <v>53</v>
      </c>
      <c r="N4" s="30">
        <v>3000000</v>
      </c>
      <c r="S4" s="61"/>
      <c r="T4" s="64"/>
      <c r="U4" s="95"/>
      <c r="V4" s="95"/>
    </row>
    <row r="5" spans="1:26" x14ac:dyDescent="0.25">
      <c r="A5">
        <v>3</v>
      </c>
      <c r="C5" s="27"/>
      <c r="N5" s="30">
        <v>4000000</v>
      </c>
      <c r="S5" s="2"/>
      <c r="T5" s="2"/>
      <c r="U5" s="95"/>
      <c r="V5" s="95"/>
    </row>
    <row r="6" spans="1:26" x14ac:dyDescent="0.25">
      <c r="A6">
        <v>4</v>
      </c>
      <c r="D6" s="394" t="s">
        <v>78</v>
      </c>
      <c r="E6" s="394"/>
      <c r="F6" s="394"/>
      <c r="G6" s="394"/>
      <c r="H6" s="394" t="s">
        <v>84</v>
      </c>
      <c r="N6" s="30">
        <v>5000000</v>
      </c>
      <c r="S6" s="2"/>
      <c r="T6" s="2"/>
      <c r="U6" s="95"/>
      <c r="V6" s="95"/>
    </row>
    <row r="7" spans="1:26" x14ac:dyDescent="0.25">
      <c r="A7">
        <v>5</v>
      </c>
      <c r="C7" s="33" t="s">
        <v>54</v>
      </c>
      <c r="D7" s="34" t="s">
        <v>83</v>
      </c>
      <c r="E7" s="34" t="s">
        <v>85</v>
      </c>
      <c r="F7" s="34" t="s">
        <v>86</v>
      </c>
      <c r="G7" s="34" t="s">
        <v>87</v>
      </c>
      <c r="H7" s="394"/>
      <c r="N7" s="30">
        <v>6000000</v>
      </c>
      <c r="S7" s="2"/>
      <c r="T7" s="2"/>
      <c r="U7" s="95"/>
      <c r="V7" s="95"/>
    </row>
    <row r="8" spans="1:26" x14ac:dyDescent="0.25">
      <c r="A8">
        <v>6</v>
      </c>
      <c r="C8" s="32" t="s">
        <v>55</v>
      </c>
      <c r="D8" s="30">
        <v>68300</v>
      </c>
      <c r="E8" s="30">
        <v>49300</v>
      </c>
      <c r="F8" s="30">
        <v>22700</v>
      </c>
      <c r="G8" s="30">
        <v>2400</v>
      </c>
      <c r="H8" s="30">
        <v>119800</v>
      </c>
      <c r="N8" s="30">
        <v>7000000</v>
      </c>
      <c r="S8" s="2"/>
      <c r="T8" s="2"/>
      <c r="U8" s="95"/>
      <c r="V8" s="95"/>
    </row>
    <row r="9" spans="1:26" x14ac:dyDescent="0.25">
      <c r="A9">
        <v>7</v>
      </c>
      <c r="C9" s="32" t="s">
        <v>56</v>
      </c>
      <c r="D9" s="30">
        <v>76600</v>
      </c>
      <c r="E9" s="30">
        <v>55500</v>
      </c>
      <c r="F9" s="30">
        <v>25600</v>
      </c>
      <c r="G9" s="30">
        <v>2700</v>
      </c>
      <c r="H9" s="30">
        <v>182300</v>
      </c>
      <c r="N9" s="30">
        <v>8000000</v>
      </c>
    </row>
    <row r="10" spans="1:26" x14ac:dyDescent="0.25">
      <c r="A10">
        <v>8</v>
      </c>
      <c r="C10" s="32" t="s">
        <v>88</v>
      </c>
      <c r="D10" s="30">
        <v>44300</v>
      </c>
      <c r="E10" s="30">
        <v>32100</v>
      </c>
      <c r="F10" s="30">
        <v>14900</v>
      </c>
      <c r="G10" s="30">
        <v>1600</v>
      </c>
      <c r="H10" s="30">
        <v>119800</v>
      </c>
      <c r="N10" s="30">
        <v>9000000</v>
      </c>
    </row>
    <row r="11" spans="1:26" x14ac:dyDescent="0.25">
      <c r="A11">
        <v>9</v>
      </c>
      <c r="C11" s="32" t="s">
        <v>194</v>
      </c>
      <c r="D11" s="30">
        <v>92200</v>
      </c>
      <c r="E11" s="30">
        <v>80000</v>
      </c>
      <c r="F11" s="30">
        <v>37000</v>
      </c>
      <c r="G11" s="30">
        <v>3700</v>
      </c>
      <c r="H11" s="30">
        <v>268300</v>
      </c>
      <c r="N11" s="30">
        <v>10000000</v>
      </c>
    </row>
    <row r="12" spans="1:26" x14ac:dyDescent="0.25">
      <c r="A12">
        <v>10</v>
      </c>
      <c r="C12" s="32"/>
      <c r="D12" s="30">
        <v>0</v>
      </c>
      <c r="E12" s="30">
        <v>0</v>
      </c>
      <c r="F12" s="30">
        <v>0</v>
      </c>
      <c r="G12" s="30">
        <v>0</v>
      </c>
      <c r="H12" s="30">
        <v>0</v>
      </c>
      <c r="N12" s="30">
        <v>11000000</v>
      </c>
    </row>
    <row r="13" spans="1:26" ht="15.75" thickBot="1" x14ac:dyDescent="0.3">
      <c r="A13">
        <v>11</v>
      </c>
      <c r="N13" s="30">
        <v>12000000</v>
      </c>
      <c r="S13" s="29"/>
    </row>
    <row r="14" spans="1:26" x14ac:dyDescent="0.25">
      <c r="A14">
        <v>12</v>
      </c>
      <c r="C14" s="35" t="s">
        <v>58</v>
      </c>
      <c r="N14" s="30">
        <v>13000000</v>
      </c>
      <c r="S14" s="134" t="s">
        <v>55</v>
      </c>
      <c r="T14" s="132" t="s">
        <v>196</v>
      </c>
      <c r="U14" s="73" t="s">
        <v>199</v>
      </c>
      <c r="V14" s="73" t="s">
        <v>199</v>
      </c>
      <c r="W14" s="73" t="s">
        <v>199</v>
      </c>
      <c r="X14" s="73" t="s">
        <v>199</v>
      </c>
      <c r="Y14" s="73" t="s">
        <v>199</v>
      </c>
      <c r="Z14" s="129" t="s">
        <v>199</v>
      </c>
    </row>
    <row r="15" spans="1:26" x14ac:dyDescent="0.25">
      <c r="A15">
        <v>13</v>
      </c>
      <c r="C15" s="28" t="s">
        <v>59</v>
      </c>
      <c r="F15" s="29"/>
      <c r="N15" s="30">
        <v>14000000</v>
      </c>
      <c r="S15" s="135" t="s">
        <v>56</v>
      </c>
      <c r="T15" s="133" t="s">
        <v>197</v>
      </c>
      <c r="U15" s="27" t="s">
        <v>199</v>
      </c>
      <c r="V15" s="27" t="s">
        <v>199</v>
      </c>
      <c r="W15" s="27" t="s">
        <v>199</v>
      </c>
      <c r="X15" s="27" t="s">
        <v>199</v>
      </c>
      <c r="Y15" s="27" t="s">
        <v>199</v>
      </c>
      <c r="Z15" s="130" t="s">
        <v>199</v>
      </c>
    </row>
    <row r="16" spans="1:26" ht="30" x14ac:dyDescent="0.25">
      <c r="A16">
        <v>14</v>
      </c>
      <c r="C16" s="28" t="s">
        <v>60</v>
      </c>
      <c r="F16" s="31"/>
      <c r="N16" s="30">
        <v>15000000</v>
      </c>
      <c r="S16" s="135" t="s">
        <v>88</v>
      </c>
      <c r="T16" s="87" t="s">
        <v>200</v>
      </c>
      <c r="U16" s="27" t="s">
        <v>199</v>
      </c>
      <c r="V16" s="27" t="s">
        <v>199</v>
      </c>
      <c r="W16" s="27" t="s">
        <v>199</v>
      </c>
      <c r="X16" s="27" t="s">
        <v>199</v>
      </c>
      <c r="Y16" s="27" t="s">
        <v>199</v>
      </c>
      <c r="Z16" s="130" t="s">
        <v>199</v>
      </c>
    </row>
    <row r="17" spans="1:30" ht="30" x14ac:dyDescent="0.25">
      <c r="A17">
        <v>15</v>
      </c>
      <c r="C17" s="28" t="s">
        <v>61</v>
      </c>
      <c r="F17" s="31"/>
      <c r="N17" s="27"/>
      <c r="S17" s="135" t="s">
        <v>194</v>
      </c>
      <c r="T17" s="87" t="s">
        <v>3</v>
      </c>
      <c r="U17" s="11" t="s">
        <v>198</v>
      </c>
      <c r="V17" s="11" t="s">
        <v>1</v>
      </c>
      <c r="W17" s="11" t="s">
        <v>2</v>
      </c>
      <c r="X17" s="11" t="s">
        <v>11</v>
      </c>
      <c r="Y17" s="11" t="s">
        <v>12</v>
      </c>
      <c r="Z17" s="131" t="s">
        <v>205</v>
      </c>
      <c r="AD17" s="4"/>
    </row>
    <row r="18" spans="1:30" ht="30.75" thickBot="1" x14ac:dyDescent="0.3">
      <c r="A18">
        <v>16</v>
      </c>
      <c r="C18" s="28" t="s">
        <v>62</v>
      </c>
      <c r="F18" s="31"/>
      <c r="S18" s="136" t="s">
        <v>21</v>
      </c>
      <c r="T18" s="139" t="str">
        <f>+IF('COSTOS POR PESV'!D19='DATOS PESV'!S14,'DATOS PESV'!T14,IF('COSTOS POR PESV'!D19='DATOS PESV'!S15,'DATOS PESV'!T15,IF('COSTOS POR PESV'!D19='DATOS PESV'!S16,'DATOS PESV'!T16,IF('COSTOS POR PESV'!D19='DATOS PESV'!S17,'DATOS PESV'!T17,0))))</f>
        <v>Motocicleta de mensajeria o transporte de ingenieros</v>
      </c>
      <c r="U18" s="140" t="str">
        <f>+IF('COSTOS POR PESV'!D19='DATOS PESV'!S14,'DATOS PESV'!U14,IF('COSTOS POR PESV'!D19='DATOS PESV'!S15,'DATOS PESV'!U15,IF('COSTOS POR PESV'!D19='DATOS PESV'!S16,'DATOS PESV'!U16,IF('COSTOS POR PESV'!D19='DATOS PESV'!S17,'DATOS PESV'!U17,0))))</f>
        <v>-</v>
      </c>
      <c r="V18" s="140" t="str">
        <f>+IF('COSTOS POR PESV'!D19='DATOS PESV'!S14,'DATOS PESV'!V14,IF('COSTOS POR PESV'!D19='DATOS PESV'!S15,'DATOS PESV'!V15,IF('COSTOS POR PESV'!D19='DATOS PESV'!S16,'DATOS PESV'!V16,IF('COSTOS POR PESV'!D19='DATOS PESV'!S17,'DATOS PESV'!V17,0))))</f>
        <v>-</v>
      </c>
      <c r="W18" s="140" t="str">
        <f>+IF('COSTOS POR PESV'!D19='DATOS PESV'!S14,'DATOS PESV'!W14,IF('COSTOS POR PESV'!D19='DATOS PESV'!S15,'DATOS PESV'!W15,IF('COSTOS POR PESV'!D19='DATOS PESV'!S16,'DATOS PESV'!W16,IF('COSTOS POR PESV'!D19='DATOS PESV'!S17,'DATOS PESV'!W17,0))))</f>
        <v>-</v>
      </c>
      <c r="X18" s="140" t="str">
        <f>+IF('COSTOS POR PESV'!D19='DATOS PESV'!S14,'DATOS PESV'!X14,IF('COSTOS POR PESV'!D19='DATOS PESV'!S15,'DATOS PESV'!X15,IF('COSTOS POR PESV'!D19='DATOS PESV'!S16,'DATOS PESV'!X16,IF('COSTOS POR PESV'!D19='DATOS PESV'!S17,'DATOS PESV'!X17,0))))</f>
        <v>-</v>
      </c>
      <c r="Y18" s="140" t="str">
        <f>+IF('COSTOS POR PESV'!D19='DATOS PESV'!S14,'DATOS PESV'!Y14,IF('COSTOS POR PESV'!D19='DATOS PESV'!S15,'DATOS PESV'!Y15,IF('COSTOS POR PESV'!D19='DATOS PESV'!S16,'DATOS PESV'!Y16,IF('COSTOS POR PESV'!D19='DATOS PESV'!S17,'DATOS PESV'!Y17,0))))</f>
        <v>-</v>
      </c>
      <c r="Z18" s="141" t="str">
        <f>+IF('COSTOS POR PESV'!D19='DATOS PESV'!S14,'DATOS PESV'!Z14,IF('COSTOS POR PESV'!D19='DATOS PESV'!S15,'DATOS PESV'!Z15,IF('COSTOS POR PESV'!D19='DATOS PESV'!S16,'DATOS PESV'!Z16,IF('COSTOS POR PESV'!D19='DATOS PESV'!S17,'DATOS PESV'!Z17,0))))</f>
        <v>-</v>
      </c>
    </row>
    <row r="19" spans="1:30" x14ac:dyDescent="0.25">
      <c r="A19">
        <v>17</v>
      </c>
      <c r="C19" s="28"/>
    </row>
    <row r="20" spans="1:30" ht="15.75" thickBot="1" x14ac:dyDescent="0.3">
      <c r="A20">
        <v>18</v>
      </c>
      <c r="AA20" s="186" t="s">
        <v>212</v>
      </c>
    </row>
    <row r="21" spans="1:30" x14ac:dyDescent="0.25">
      <c r="A21">
        <v>19</v>
      </c>
      <c r="C21" s="35" t="s">
        <v>65</v>
      </c>
      <c r="D21" s="30">
        <v>781242</v>
      </c>
      <c r="E21" s="34" t="s">
        <v>66</v>
      </c>
      <c r="F21" s="30">
        <f>+D21/30</f>
        <v>26041.4</v>
      </c>
      <c r="S21" s="142" t="s">
        <v>196</v>
      </c>
      <c r="T21" s="72" t="s">
        <v>201</v>
      </c>
      <c r="U21" s="73" t="s">
        <v>199</v>
      </c>
      <c r="V21" s="73" t="s">
        <v>199</v>
      </c>
      <c r="W21" s="73" t="s">
        <v>199</v>
      </c>
      <c r="X21" s="73" t="s">
        <v>199</v>
      </c>
      <c r="Y21" s="73" t="s">
        <v>199</v>
      </c>
      <c r="Z21" s="185" t="s">
        <v>199</v>
      </c>
      <c r="AA21" s="187">
        <v>200000</v>
      </c>
    </row>
    <row r="22" spans="1:30" ht="30.75" thickBot="1" x14ac:dyDescent="0.3">
      <c r="A22">
        <v>20</v>
      </c>
      <c r="S22" s="143" t="s">
        <v>197</v>
      </c>
      <c r="T22" s="28" t="s">
        <v>202</v>
      </c>
      <c r="U22" s="27" t="s">
        <v>199</v>
      </c>
      <c r="V22" s="27" t="s">
        <v>199</v>
      </c>
      <c r="W22" s="27" t="s">
        <v>199</v>
      </c>
      <c r="X22" s="27" t="s">
        <v>199</v>
      </c>
      <c r="Y22" s="27" t="s">
        <v>199</v>
      </c>
      <c r="Z22" s="32" t="s">
        <v>199</v>
      </c>
      <c r="AA22" s="187">
        <v>450000</v>
      </c>
    </row>
    <row r="23" spans="1:30" ht="30.75" thickBot="1" x14ac:dyDescent="0.3">
      <c r="A23">
        <v>21</v>
      </c>
      <c r="B23" s="84" t="s">
        <v>104</v>
      </c>
      <c r="C23" s="85" t="s">
        <v>63</v>
      </c>
      <c r="D23" s="85" t="s">
        <v>67</v>
      </c>
      <c r="E23" s="85" t="s">
        <v>64</v>
      </c>
      <c r="F23" s="85" t="s">
        <v>78</v>
      </c>
      <c r="G23" s="86" t="s">
        <v>81</v>
      </c>
      <c r="S23" s="144" t="s">
        <v>200</v>
      </c>
      <c r="T23" s="28" t="s">
        <v>203</v>
      </c>
      <c r="U23" s="27" t="s">
        <v>199</v>
      </c>
      <c r="V23" s="27" t="s">
        <v>199</v>
      </c>
      <c r="W23" s="27" t="s">
        <v>199</v>
      </c>
      <c r="X23" s="27" t="s">
        <v>199</v>
      </c>
      <c r="Y23" s="27" t="s">
        <v>199</v>
      </c>
      <c r="Z23" s="32" t="s">
        <v>199</v>
      </c>
      <c r="AA23" s="187">
        <v>85000</v>
      </c>
    </row>
    <row r="24" spans="1:30" ht="30.75" thickBot="1" x14ac:dyDescent="0.3">
      <c r="A24">
        <v>22</v>
      </c>
      <c r="B24" s="79">
        <v>0</v>
      </c>
      <c r="C24" s="80" t="s">
        <v>82</v>
      </c>
      <c r="D24" s="81">
        <v>0</v>
      </c>
      <c r="E24" s="82">
        <f>+D24*$F$21</f>
        <v>0</v>
      </c>
      <c r="F24" s="81" t="s">
        <v>80</v>
      </c>
      <c r="G24" s="83" t="s">
        <v>80</v>
      </c>
      <c r="S24" s="144" t="s">
        <v>3</v>
      </c>
      <c r="T24" s="177" t="s">
        <v>219</v>
      </c>
      <c r="U24" s="178" t="s">
        <v>175</v>
      </c>
      <c r="V24" s="178" t="s">
        <v>176</v>
      </c>
      <c r="W24" s="178" t="s">
        <v>177</v>
      </c>
      <c r="X24" s="178" t="s">
        <v>180</v>
      </c>
      <c r="Y24" s="178" t="s">
        <v>221</v>
      </c>
      <c r="Z24" s="179" t="s">
        <v>222</v>
      </c>
    </row>
    <row r="25" spans="1:30" ht="90" x14ac:dyDescent="0.25">
      <c r="A25">
        <v>23</v>
      </c>
      <c r="B25" s="39">
        <v>1</v>
      </c>
      <c r="C25" s="78" t="s">
        <v>224</v>
      </c>
      <c r="D25" s="184">
        <f>+E25/$F$21</f>
        <v>8</v>
      </c>
      <c r="E25" s="30">
        <v>208331.2</v>
      </c>
      <c r="F25" s="27" t="s">
        <v>80</v>
      </c>
      <c r="G25" s="36" t="s">
        <v>80</v>
      </c>
      <c r="S25" s="145" t="s">
        <v>198</v>
      </c>
      <c r="T25" s="154" t="s">
        <v>219</v>
      </c>
      <c r="U25" s="155" t="s">
        <v>180</v>
      </c>
      <c r="V25" s="167" t="s">
        <v>199</v>
      </c>
      <c r="W25" s="167" t="s">
        <v>199</v>
      </c>
      <c r="X25" s="167" t="s">
        <v>199</v>
      </c>
      <c r="Y25" s="167" t="s">
        <v>199</v>
      </c>
      <c r="Z25" s="156" t="s">
        <v>199</v>
      </c>
    </row>
    <row r="26" spans="1:30" x14ac:dyDescent="0.25">
      <c r="A26">
        <v>24</v>
      </c>
      <c r="B26" s="39">
        <v>2</v>
      </c>
      <c r="C26" s="78" t="s">
        <v>345</v>
      </c>
      <c r="D26" s="184">
        <f t="shared" ref="D26:D42" si="0">+E26/$F$21</f>
        <v>8</v>
      </c>
      <c r="E26" s="30">
        <v>208331.2</v>
      </c>
      <c r="F26" s="27" t="s">
        <v>79</v>
      </c>
      <c r="G26" s="36" t="s">
        <v>80</v>
      </c>
      <c r="S26" s="145" t="s">
        <v>1</v>
      </c>
      <c r="T26" s="154" t="s">
        <v>219</v>
      </c>
      <c r="U26" s="155" t="s">
        <v>178</v>
      </c>
      <c r="V26" s="155" t="s">
        <v>199</v>
      </c>
      <c r="W26" s="167" t="s">
        <v>199</v>
      </c>
      <c r="X26" s="167" t="s">
        <v>199</v>
      </c>
      <c r="Y26" s="167" t="s">
        <v>199</v>
      </c>
      <c r="Z26" s="157" t="s">
        <v>199</v>
      </c>
    </row>
    <row r="27" spans="1:30" ht="60" x14ac:dyDescent="0.25">
      <c r="A27">
        <v>25</v>
      </c>
      <c r="B27" s="39">
        <v>3</v>
      </c>
      <c r="C27" s="78" t="s">
        <v>225</v>
      </c>
      <c r="D27" s="184">
        <f t="shared" si="0"/>
        <v>8</v>
      </c>
      <c r="E27" s="30">
        <v>208331.2</v>
      </c>
      <c r="F27" s="27" t="s">
        <v>79</v>
      </c>
      <c r="G27" s="36" t="s">
        <v>80</v>
      </c>
      <c r="S27" s="145" t="s">
        <v>2</v>
      </c>
      <c r="T27" s="154" t="s">
        <v>222</v>
      </c>
      <c r="U27" s="155" t="s">
        <v>176</v>
      </c>
      <c r="V27" s="155" t="s">
        <v>177</v>
      </c>
      <c r="W27" s="167" t="s">
        <v>199</v>
      </c>
      <c r="X27" s="167" t="s">
        <v>199</v>
      </c>
      <c r="Y27" s="167" t="s">
        <v>199</v>
      </c>
      <c r="Z27" s="156" t="s">
        <v>199</v>
      </c>
    </row>
    <row r="28" spans="1:30" ht="45" x14ac:dyDescent="0.25">
      <c r="A28">
        <v>26</v>
      </c>
      <c r="B28" s="39">
        <v>4</v>
      </c>
      <c r="C28" s="78" t="s">
        <v>68</v>
      </c>
      <c r="D28" s="184">
        <f t="shared" si="0"/>
        <v>8</v>
      </c>
      <c r="E28" s="30">
        <v>208331.2</v>
      </c>
      <c r="F28" s="27" t="s">
        <v>80</v>
      </c>
      <c r="G28" s="36" t="s">
        <v>80</v>
      </c>
      <c r="S28" s="145" t="s">
        <v>11</v>
      </c>
      <c r="T28" s="154" t="s">
        <v>221</v>
      </c>
      <c r="U28" s="167" t="s">
        <v>199</v>
      </c>
      <c r="V28" s="167" t="s">
        <v>199</v>
      </c>
      <c r="W28" s="167" t="s">
        <v>199</v>
      </c>
      <c r="X28" s="167" t="s">
        <v>199</v>
      </c>
      <c r="Y28" s="167" t="s">
        <v>199</v>
      </c>
      <c r="Z28" s="156" t="s">
        <v>199</v>
      </c>
    </row>
    <row r="29" spans="1:30" ht="45" x14ac:dyDescent="0.25">
      <c r="A29">
        <v>27</v>
      </c>
      <c r="B29" s="39">
        <v>5</v>
      </c>
      <c r="C29" s="78" t="s">
        <v>69</v>
      </c>
      <c r="D29" s="184">
        <f t="shared" si="0"/>
        <v>8</v>
      </c>
      <c r="E29" s="30">
        <v>208331.2</v>
      </c>
      <c r="F29" s="27" t="s">
        <v>80</v>
      </c>
      <c r="G29" s="36" t="s">
        <v>80</v>
      </c>
      <c r="S29" s="145" t="s">
        <v>12</v>
      </c>
      <c r="T29" s="154" t="s">
        <v>221</v>
      </c>
      <c r="U29" s="167" t="s">
        <v>199</v>
      </c>
      <c r="V29" s="167" t="s">
        <v>199</v>
      </c>
      <c r="W29" s="167" t="s">
        <v>199</v>
      </c>
      <c r="X29" s="167" t="s">
        <v>199</v>
      </c>
      <c r="Y29" s="167" t="s">
        <v>199</v>
      </c>
      <c r="Z29" s="156" t="s">
        <v>199</v>
      </c>
    </row>
    <row r="30" spans="1:30" ht="90" x14ac:dyDescent="0.25">
      <c r="A30">
        <v>28</v>
      </c>
      <c r="B30" s="39">
        <v>6</v>
      </c>
      <c r="C30" s="78" t="s">
        <v>226</v>
      </c>
      <c r="D30" s="184">
        <f t="shared" si="0"/>
        <v>8</v>
      </c>
      <c r="E30" s="183">
        <v>208331.2</v>
      </c>
      <c r="F30" s="27" t="s">
        <v>80</v>
      </c>
      <c r="G30" s="36" t="s">
        <v>80</v>
      </c>
      <c r="S30" s="145" t="s">
        <v>205</v>
      </c>
      <c r="T30" s="154" t="s">
        <v>220</v>
      </c>
      <c r="U30" s="167" t="s">
        <v>199</v>
      </c>
      <c r="V30" s="167" t="s">
        <v>199</v>
      </c>
      <c r="W30" s="167" t="s">
        <v>199</v>
      </c>
      <c r="X30" s="167" t="s">
        <v>199</v>
      </c>
      <c r="Y30" s="167" t="s">
        <v>199</v>
      </c>
      <c r="Z30" s="156" t="s">
        <v>199</v>
      </c>
    </row>
    <row r="31" spans="1:30" ht="45.75" thickBot="1" x14ac:dyDescent="0.3">
      <c r="A31">
        <v>29</v>
      </c>
      <c r="B31" s="39">
        <v>7</v>
      </c>
      <c r="C31" s="78" t="s">
        <v>70</v>
      </c>
      <c r="D31" s="184">
        <f t="shared" si="0"/>
        <v>0</v>
      </c>
      <c r="E31" s="183"/>
      <c r="F31" s="27" t="s">
        <v>79</v>
      </c>
      <c r="G31" s="36" t="s">
        <v>80</v>
      </c>
      <c r="S31" s="146" t="s">
        <v>204</v>
      </c>
      <c r="T31" s="140">
        <f>+IF('COSTOS POR PESV'!$D$23='DATOS PESV'!$S$21,'DATOS PESV'!T21,IF('COSTOS POR PESV'!$D$23='DATOS PESV'!$S$22,'DATOS PESV'!T22,IF('COSTOS POR PESV'!$D$23='DATOS PESV'!$S$23,'DATOS PESV'!T23,IF('COSTOS POR PESV'!$D$23='DATOS PESV'!$S$24,'DATOS PESV'!T24,IF('COSTOS POR PESV'!$D$23='DATOS PESV'!$S$25,'DATOS PESV'!T25,IF('COSTOS POR PESV'!$D$23='DATOS PESV'!$S$26,'DATOS PESV'!T26,IF('COSTOS POR PESV'!$D$23='DATOS PESV'!$S$27,'DATOS PESV'!T27,IF('COSTOS POR PESV'!$D$23='DATOS PESV'!$S$28,'DATOS PESV'!T28,IF('COSTOS POR PESV'!$D$23='DATOS PESV'!$S$29,'DATOS PESV'!T29,IF('COSTOS POR PESV'!$D$23='DATOS PESV'!$S$30,'DATOS PESV'!T30,0))))))))))</f>
        <v>0</v>
      </c>
      <c r="U31" s="140">
        <f>+IF('COSTOS POR PESV'!$D$23='DATOS PESV'!$S$21,'DATOS PESV'!U21,IF('COSTOS POR PESV'!$D$23='DATOS PESV'!$S$22,'DATOS PESV'!U22,IF('COSTOS POR PESV'!$D$23='DATOS PESV'!$S$23,'DATOS PESV'!U23,IF('COSTOS POR PESV'!$D$23='DATOS PESV'!$S$24,'DATOS PESV'!U24,IF('COSTOS POR PESV'!$D$23='DATOS PESV'!$S$25,'DATOS PESV'!U25,IF('COSTOS POR PESV'!$D$23='DATOS PESV'!$S$26,'DATOS PESV'!U26,IF('COSTOS POR PESV'!$D$23='DATOS PESV'!$S$27,'DATOS PESV'!U27,IF('COSTOS POR PESV'!$D$23='DATOS PESV'!$S$28,'DATOS PESV'!U28,IF('COSTOS POR PESV'!$D$23='DATOS PESV'!$S$29,'DATOS PESV'!U29,IF('COSTOS POR PESV'!$D$23='DATOS PESV'!$S$30,'DATOS PESV'!U30,0))))))))))</f>
        <v>0</v>
      </c>
      <c r="V31" s="140">
        <f>+IF('COSTOS POR PESV'!$D$23='DATOS PESV'!$S$21,'DATOS PESV'!V21,IF('COSTOS POR PESV'!$D$23='DATOS PESV'!$S$22,'DATOS PESV'!V22,IF('COSTOS POR PESV'!$D$23='DATOS PESV'!$S$23,'DATOS PESV'!V23,IF('COSTOS POR PESV'!$D$23='DATOS PESV'!$S$24,'DATOS PESV'!V24,IF('COSTOS POR PESV'!$D$23='DATOS PESV'!$S$25,'DATOS PESV'!V25,IF('COSTOS POR PESV'!$D$23='DATOS PESV'!$S$26,'DATOS PESV'!V26,IF('COSTOS POR PESV'!$D$23='DATOS PESV'!$S$27,'DATOS PESV'!V27,IF('COSTOS POR PESV'!$D$23='DATOS PESV'!$S$28,'DATOS PESV'!V28,IF('COSTOS POR PESV'!$D$23='DATOS PESV'!$S$29,'DATOS PESV'!V29,IF('COSTOS POR PESV'!$D$23='DATOS PESV'!$S$30,'DATOS PESV'!V30,0))))))))))</f>
        <v>0</v>
      </c>
      <c r="W31" s="140">
        <f>+IF('COSTOS POR PESV'!$D$23='DATOS PESV'!$S$21,'DATOS PESV'!W21,IF('COSTOS POR PESV'!$D$23='DATOS PESV'!$S$22,'DATOS PESV'!W22,IF('COSTOS POR PESV'!$D$23='DATOS PESV'!$S$23,'DATOS PESV'!W23,IF('COSTOS POR PESV'!$D$23='DATOS PESV'!$S$24,'DATOS PESV'!W24,IF('COSTOS POR PESV'!$D$23='DATOS PESV'!$S$25,'DATOS PESV'!W25,IF('COSTOS POR PESV'!$D$23='DATOS PESV'!$S$26,'DATOS PESV'!W26,IF('COSTOS POR PESV'!$D$23='DATOS PESV'!$S$27,'DATOS PESV'!W27,IF('COSTOS POR PESV'!$D$23='DATOS PESV'!$S$28,'DATOS PESV'!W28,IF('COSTOS POR PESV'!$D$23='DATOS PESV'!$S$29,'DATOS PESV'!W29,IF('COSTOS POR PESV'!$D$23='DATOS PESV'!$S$30,'DATOS PESV'!W30,0))))))))))</f>
        <v>0</v>
      </c>
      <c r="X31" s="140">
        <f>+IF('COSTOS POR PESV'!$D$23='DATOS PESV'!$S$21,'DATOS PESV'!X21,IF('COSTOS POR PESV'!$D$23='DATOS PESV'!$S$22,'DATOS PESV'!X22,IF('COSTOS POR PESV'!$D$23='DATOS PESV'!$S$23,'DATOS PESV'!X23,IF('COSTOS POR PESV'!$D$23='DATOS PESV'!$S$24,'DATOS PESV'!X24,IF('COSTOS POR PESV'!$D$23='DATOS PESV'!$S$25,'DATOS PESV'!X25,IF('COSTOS POR PESV'!$D$23='DATOS PESV'!$S$26,'DATOS PESV'!X26,IF('COSTOS POR PESV'!$D$23='DATOS PESV'!$S$27,'DATOS PESV'!X27,IF('COSTOS POR PESV'!$D$23='DATOS PESV'!$S$28,'DATOS PESV'!X28,IF('COSTOS POR PESV'!$D$23='DATOS PESV'!$S$29,'DATOS PESV'!X29,IF('COSTOS POR PESV'!$D$23='DATOS PESV'!$S$30,'DATOS PESV'!X30,0))))))))))</f>
        <v>0</v>
      </c>
      <c r="Y31" s="140">
        <f>+IF('COSTOS POR PESV'!$D$23='DATOS PESV'!$S$21,'DATOS PESV'!Y21,IF('COSTOS POR PESV'!$D$23='DATOS PESV'!$S$22,'DATOS PESV'!Y22,IF('COSTOS POR PESV'!$D$23='DATOS PESV'!$S$23,'DATOS PESV'!Y23,IF('COSTOS POR PESV'!$D$23='DATOS PESV'!$S$24,'DATOS PESV'!Y24,IF('COSTOS POR PESV'!$D$23='DATOS PESV'!$S$25,'DATOS PESV'!Y25,IF('COSTOS POR PESV'!$D$23='DATOS PESV'!$S$26,'DATOS PESV'!Y26,IF('COSTOS POR PESV'!$D$23='DATOS PESV'!$S$27,'DATOS PESV'!Y27,IF('COSTOS POR PESV'!$D$23='DATOS PESV'!$S$28,'DATOS PESV'!Y28,IF('COSTOS POR PESV'!$D$23='DATOS PESV'!$S$29,'DATOS PESV'!Y29,IF('COSTOS POR PESV'!$D$23='DATOS PESV'!$S$30,'DATOS PESV'!Y30,0))))))))))</f>
        <v>0</v>
      </c>
      <c r="Z31" s="140">
        <f>+IF('COSTOS POR PESV'!$D$23='DATOS PESV'!$S$21,'DATOS PESV'!Z21,IF('COSTOS POR PESV'!$D$23='DATOS PESV'!$S$22,'DATOS PESV'!Z22,IF('COSTOS POR PESV'!$D$23='DATOS PESV'!$S$23,'DATOS PESV'!Z23,IF('COSTOS POR PESV'!$D$23='DATOS PESV'!$S$24,'DATOS PESV'!Z24,IF('COSTOS POR PESV'!$D$23='DATOS PESV'!$S$25,'DATOS PESV'!Z25,IF('COSTOS POR PESV'!$D$23='DATOS PESV'!$S$26,'DATOS PESV'!Z26,IF('COSTOS POR PESV'!$D$23='DATOS PESV'!$S$27,'DATOS PESV'!Z27,IF('COSTOS POR PESV'!$D$23='DATOS PESV'!$S$28,'DATOS PESV'!Z28,IF('COSTOS POR PESV'!$D$23='DATOS PESV'!$S$29,'DATOS PESV'!Z29,IF('COSTOS POR PESV'!$D$23='DATOS PESV'!$S$30,'DATOS PESV'!Z30,0))))))))))</f>
        <v>0</v>
      </c>
    </row>
    <row r="32" spans="1:30" ht="30.75" thickBot="1" x14ac:dyDescent="0.3">
      <c r="A32">
        <v>30</v>
      </c>
      <c r="B32" s="39">
        <v>8</v>
      </c>
      <c r="C32" s="78" t="s">
        <v>71</v>
      </c>
      <c r="D32" s="184">
        <f t="shared" si="0"/>
        <v>0</v>
      </c>
      <c r="E32" s="183"/>
      <c r="F32" s="27" t="s">
        <v>79</v>
      </c>
      <c r="G32" s="36" t="s">
        <v>80</v>
      </c>
      <c r="Z32" s="91"/>
    </row>
    <row r="33" spans="1:29" ht="60" x14ac:dyDescent="0.25">
      <c r="A33">
        <v>31</v>
      </c>
      <c r="B33" s="39">
        <v>9</v>
      </c>
      <c r="C33" s="78" t="s">
        <v>72</v>
      </c>
      <c r="D33" s="184">
        <f t="shared" si="0"/>
        <v>0</v>
      </c>
      <c r="E33" s="183"/>
      <c r="F33" s="27" t="s">
        <v>79</v>
      </c>
      <c r="G33" s="36" t="s">
        <v>80</v>
      </c>
      <c r="S33" s="147"/>
      <c r="T33" s="148" t="s">
        <v>219</v>
      </c>
      <c r="U33" s="148" t="s">
        <v>179</v>
      </c>
      <c r="V33" s="148" t="s">
        <v>222</v>
      </c>
      <c r="W33" s="148" t="s">
        <v>175</v>
      </c>
      <c r="X33" s="148" t="s">
        <v>176</v>
      </c>
      <c r="Y33" s="148" t="s">
        <v>177</v>
      </c>
      <c r="Z33" s="148" t="s">
        <v>178</v>
      </c>
      <c r="AA33" s="148" t="s">
        <v>220</v>
      </c>
      <c r="AB33" s="148" t="s">
        <v>180</v>
      </c>
      <c r="AC33" s="149" t="s">
        <v>221</v>
      </c>
    </row>
    <row r="34" spans="1:29" ht="300" x14ac:dyDescent="0.25">
      <c r="A34">
        <v>32</v>
      </c>
      <c r="B34" s="39">
        <v>10</v>
      </c>
      <c r="C34" s="78" t="s">
        <v>227</v>
      </c>
      <c r="D34" s="184">
        <f t="shared" si="0"/>
        <v>15</v>
      </c>
      <c r="E34" s="183">
        <v>390621</v>
      </c>
      <c r="F34" s="27" t="s">
        <v>80</v>
      </c>
      <c r="G34" s="36" t="s">
        <v>80</v>
      </c>
      <c r="S34" s="145" t="s">
        <v>198</v>
      </c>
      <c r="T34" s="154">
        <v>15</v>
      </c>
      <c r="U34" s="155">
        <v>0</v>
      </c>
      <c r="V34" s="155">
        <v>0</v>
      </c>
      <c r="W34" s="155">
        <v>0</v>
      </c>
      <c r="X34" s="155">
        <v>0</v>
      </c>
      <c r="Y34" s="155">
        <v>0</v>
      </c>
      <c r="Z34" s="155">
        <v>0</v>
      </c>
      <c r="AA34" s="155">
        <v>0</v>
      </c>
      <c r="AB34" s="155">
        <v>250</v>
      </c>
      <c r="AC34" s="157">
        <v>0</v>
      </c>
    </row>
    <row r="35" spans="1:29" ht="60" x14ac:dyDescent="0.25">
      <c r="A35">
        <v>33</v>
      </c>
      <c r="B35" s="39">
        <v>11</v>
      </c>
      <c r="C35" s="78" t="s">
        <v>228</v>
      </c>
      <c r="D35" s="184">
        <f t="shared" si="0"/>
        <v>15</v>
      </c>
      <c r="E35" s="183">
        <v>390621</v>
      </c>
      <c r="F35" s="27" t="s">
        <v>80</v>
      </c>
      <c r="G35" s="36" t="s">
        <v>80</v>
      </c>
      <c r="S35" s="145" t="s">
        <v>1</v>
      </c>
      <c r="T35" s="154">
        <v>20</v>
      </c>
      <c r="U35" s="155">
        <v>0</v>
      </c>
      <c r="V35" s="155">
        <v>0</v>
      </c>
      <c r="W35" s="155">
        <v>0</v>
      </c>
      <c r="X35" s="155">
        <v>0</v>
      </c>
      <c r="Y35" s="155">
        <v>0</v>
      </c>
      <c r="Z35" s="155">
        <v>2</v>
      </c>
      <c r="AA35" s="155">
        <v>0</v>
      </c>
      <c r="AB35" s="155">
        <v>0</v>
      </c>
      <c r="AC35" s="157">
        <v>0</v>
      </c>
    </row>
    <row r="36" spans="1:29" ht="210" x14ac:dyDescent="0.25">
      <c r="A36">
        <v>34</v>
      </c>
      <c r="B36" s="39">
        <v>12</v>
      </c>
      <c r="C36" s="78" t="s">
        <v>229</v>
      </c>
      <c r="D36" s="184">
        <f t="shared" si="0"/>
        <v>15</v>
      </c>
      <c r="E36" s="183">
        <v>390621</v>
      </c>
      <c r="F36" s="27" t="s">
        <v>79</v>
      </c>
      <c r="G36" s="36" t="s">
        <v>80</v>
      </c>
      <c r="S36" s="145" t="s">
        <v>2</v>
      </c>
      <c r="T36" s="154">
        <v>0</v>
      </c>
      <c r="U36" s="155">
        <v>0</v>
      </c>
      <c r="V36" s="155">
        <v>30</v>
      </c>
      <c r="W36" s="155">
        <v>0</v>
      </c>
      <c r="X36" s="155">
        <v>25</v>
      </c>
      <c r="Y36" s="155">
        <v>20</v>
      </c>
      <c r="Z36" s="155">
        <v>0</v>
      </c>
      <c r="AA36" s="155">
        <v>0</v>
      </c>
      <c r="AB36" s="155">
        <v>0</v>
      </c>
      <c r="AC36" s="157">
        <v>0</v>
      </c>
    </row>
    <row r="37" spans="1:29" ht="90" x14ac:dyDescent="0.25">
      <c r="A37">
        <v>35</v>
      </c>
      <c r="B37" s="39">
        <v>13</v>
      </c>
      <c r="C37" s="78" t="s">
        <v>230</v>
      </c>
      <c r="D37" s="184">
        <f t="shared" si="0"/>
        <v>0</v>
      </c>
      <c r="E37" s="183"/>
      <c r="F37" s="27" t="s">
        <v>79</v>
      </c>
      <c r="G37" s="36" t="s">
        <v>80</v>
      </c>
      <c r="S37" s="145" t="s">
        <v>11</v>
      </c>
      <c r="T37" s="154">
        <v>0</v>
      </c>
      <c r="U37" s="155">
        <v>0</v>
      </c>
      <c r="V37" s="155">
        <v>0</v>
      </c>
      <c r="W37" s="155">
        <v>0</v>
      </c>
      <c r="X37" s="155">
        <v>0</v>
      </c>
      <c r="Y37" s="155">
        <v>0</v>
      </c>
      <c r="Z37" s="155">
        <v>0</v>
      </c>
      <c r="AA37" s="155">
        <v>0</v>
      </c>
      <c r="AB37" s="155">
        <v>0</v>
      </c>
      <c r="AC37" s="157">
        <v>30</v>
      </c>
    </row>
    <row r="38" spans="1:29" ht="90" x14ac:dyDescent="0.25">
      <c r="A38">
        <v>36</v>
      </c>
      <c r="B38" s="39">
        <v>14</v>
      </c>
      <c r="C38" s="78" t="s">
        <v>231</v>
      </c>
      <c r="D38" s="184">
        <f t="shared" si="0"/>
        <v>15</v>
      </c>
      <c r="E38" s="183">
        <v>390621</v>
      </c>
      <c r="F38" s="27" t="s">
        <v>79</v>
      </c>
      <c r="G38" s="36" t="s">
        <v>80</v>
      </c>
      <c r="S38" s="145" t="s">
        <v>12</v>
      </c>
      <c r="T38" s="154">
        <v>0</v>
      </c>
      <c r="U38" s="155">
        <v>0</v>
      </c>
      <c r="V38" s="155">
        <v>0</v>
      </c>
      <c r="W38" s="155">
        <v>0</v>
      </c>
      <c r="X38" s="155">
        <v>0</v>
      </c>
      <c r="Y38" s="155">
        <v>0</v>
      </c>
      <c r="Z38" s="155">
        <v>0</v>
      </c>
      <c r="AA38" s="155">
        <v>0</v>
      </c>
      <c r="AB38" s="155">
        <v>0</v>
      </c>
      <c r="AC38" s="157">
        <v>30</v>
      </c>
    </row>
    <row r="39" spans="1:29" ht="120" x14ac:dyDescent="0.25">
      <c r="A39">
        <v>37</v>
      </c>
      <c r="B39" s="39">
        <v>15</v>
      </c>
      <c r="C39" s="78" t="s">
        <v>232</v>
      </c>
      <c r="D39" s="184">
        <f t="shared" si="0"/>
        <v>15</v>
      </c>
      <c r="E39" s="183">
        <v>390621</v>
      </c>
      <c r="F39" s="27" t="s">
        <v>79</v>
      </c>
      <c r="G39" s="36" t="s">
        <v>80</v>
      </c>
      <c r="S39" s="145" t="s">
        <v>205</v>
      </c>
      <c r="T39" s="154">
        <v>0</v>
      </c>
      <c r="U39" s="155">
        <v>0</v>
      </c>
      <c r="V39" s="155">
        <v>0</v>
      </c>
      <c r="W39" s="155">
        <v>0</v>
      </c>
      <c r="X39" s="155">
        <v>0</v>
      </c>
      <c r="Y39" s="155">
        <v>0</v>
      </c>
      <c r="Z39" s="155">
        <v>0</v>
      </c>
      <c r="AA39" s="155">
        <v>500</v>
      </c>
      <c r="AB39" s="155">
        <v>0</v>
      </c>
      <c r="AC39" s="157">
        <v>0</v>
      </c>
    </row>
    <row r="40" spans="1:29" ht="165.75" thickBot="1" x14ac:dyDescent="0.3">
      <c r="A40">
        <v>38</v>
      </c>
      <c r="B40" s="39">
        <v>16</v>
      </c>
      <c r="C40" s="78" t="s">
        <v>233</v>
      </c>
      <c r="D40" s="184">
        <f t="shared" si="0"/>
        <v>15</v>
      </c>
      <c r="E40" s="183">
        <v>390621</v>
      </c>
      <c r="F40" s="27" t="s">
        <v>79</v>
      </c>
      <c r="G40" s="36" t="s">
        <v>80</v>
      </c>
      <c r="S40" s="146" t="s">
        <v>3</v>
      </c>
      <c r="T40" s="174">
        <v>15</v>
      </c>
      <c r="U40" s="175">
        <v>0</v>
      </c>
      <c r="V40" s="175">
        <v>15</v>
      </c>
      <c r="W40" s="175">
        <v>15</v>
      </c>
      <c r="X40" s="175">
        <v>15</v>
      </c>
      <c r="Y40" s="175">
        <v>15</v>
      </c>
      <c r="Z40" s="175">
        <v>0</v>
      </c>
      <c r="AA40" s="175">
        <v>0</v>
      </c>
      <c r="AB40" s="175">
        <v>15</v>
      </c>
      <c r="AC40" s="176">
        <v>15</v>
      </c>
    </row>
    <row r="41" spans="1:29" ht="45.75" thickBot="1" x14ac:dyDescent="0.3">
      <c r="A41">
        <v>39</v>
      </c>
      <c r="B41" s="39">
        <v>17</v>
      </c>
      <c r="C41" s="78" t="s">
        <v>73</v>
      </c>
      <c r="D41" s="184">
        <f t="shared" si="0"/>
        <v>30</v>
      </c>
      <c r="E41" s="183">
        <v>781242</v>
      </c>
      <c r="F41" s="27" t="s">
        <v>79</v>
      </c>
      <c r="G41" s="36" t="s">
        <v>80</v>
      </c>
    </row>
    <row r="42" spans="1:29" ht="120.75" thickBot="1" x14ac:dyDescent="0.3">
      <c r="A42">
        <v>40</v>
      </c>
      <c r="B42" s="39">
        <v>18</v>
      </c>
      <c r="C42" s="78" t="s">
        <v>74</v>
      </c>
      <c r="D42" s="184">
        <f t="shared" si="0"/>
        <v>30</v>
      </c>
      <c r="E42" s="183">
        <v>781242</v>
      </c>
      <c r="F42" s="27" t="s">
        <v>79</v>
      </c>
      <c r="G42" s="36" t="s">
        <v>80</v>
      </c>
      <c r="S42" s="396" t="s">
        <v>215</v>
      </c>
      <c r="T42" s="397"/>
      <c r="U42" s="397"/>
      <c r="V42" s="397"/>
      <c r="W42" s="397"/>
      <c r="X42" s="397"/>
      <c r="Y42" s="397"/>
      <c r="Z42" s="398"/>
    </row>
    <row r="43" spans="1:29" ht="90" x14ac:dyDescent="0.25">
      <c r="A43">
        <v>41</v>
      </c>
      <c r="B43" s="39">
        <v>19</v>
      </c>
      <c r="C43" s="78" t="s">
        <v>76</v>
      </c>
      <c r="D43" s="184">
        <f t="shared" ref="D43:D46" si="1">+E43/$F$21</f>
        <v>30</v>
      </c>
      <c r="E43" s="183">
        <v>781242</v>
      </c>
      <c r="F43" s="27" t="s">
        <v>79</v>
      </c>
      <c r="G43" s="36" t="s">
        <v>80</v>
      </c>
      <c r="S43" s="150" t="s">
        <v>196</v>
      </c>
      <c r="T43" s="88" t="s">
        <v>201</v>
      </c>
      <c r="U43" s="90" t="s">
        <v>199</v>
      </c>
      <c r="V43" s="90" t="s">
        <v>199</v>
      </c>
      <c r="W43" s="90" t="s">
        <v>199</v>
      </c>
      <c r="X43" s="90" t="s">
        <v>199</v>
      </c>
      <c r="Y43" s="90" t="s">
        <v>199</v>
      </c>
      <c r="Z43" s="36" t="s">
        <v>199</v>
      </c>
      <c r="AA43" s="89">
        <v>200000</v>
      </c>
    </row>
    <row r="44" spans="1:29" ht="75" x14ac:dyDescent="0.25">
      <c r="A44">
        <v>42</v>
      </c>
      <c r="B44" s="39">
        <v>20</v>
      </c>
      <c r="C44" s="78" t="s">
        <v>234</v>
      </c>
      <c r="D44" s="184">
        <f t="shared" si="1"/>
        <v>30</v>
      </c>
      <c r="E44" s="183">
        <v>781242</v>
      </c>
      <c r="F44" s="27" t="s">
        <v>80</v>
      </c>
      <c r="G44" s="36" t="s">
        <v>80</v>
      </c>
      <c r="S44" s="143" t="s">
        <v>197</v>
      </c>
      <c r="T44" s="28" t="s">
        <v>202</v>
      </c>
      <c r="U44" s="27" t="s">
        <v>199</v>
      </c>
      <c r="V44" s="27" t="s">
        <v>199</v>
      </c>
      <c r="W44" s="27" t="s">
        <v>199</v>
      </c>
      <c r="X44" s="27" t="s">
        <v>199</v>
      </c>
      <c r="Y44" s="27" t="s">
        <v>199</v>
      </c>
      <c r="Z44" s="36" t="s">
        <v>199</v>
      </c>
      <c r="AA44" s="89">
        <v>450000</v>
      </c>
    </row>
    <row r="45" spans="1:29" ht="270" x14ac:dyDescent="0.25">
      <c r="A45">
        <v>43</v>
      </c>
      <c r="B45" s="39">
        <v>21</v>
      </c>
      <c r="C45" s="78" t="s">
        <v>235</v>
      </c>
      <c r="D45" s="184">
        <f t="shared" si="1"/>
        <v>0</v>
      </c>
      <c r="E45" s="27"/>
      <c r="F45" s="27" t="s">
        <v>79</v>
      </c>
      <c r="G45" s="36" t="s">
        <v>79</v>
      </c>
      <c r="S45" s="144" t="s">
        <v>200</v>
      </c>
      <c r="T45" s="28" t="s">
        <v>203</v>
      </c>
      <c r="U45" s="27" t="s">
        <v>199</v>
      </c>
      <c r="V45" s="27" t="s">
        <v>199</v>
      </c>
      <c r="W45" s="27" t="s">
        <v>199</v>
      </c>
      <c r="X45" s="27" t="s">
        <v>199</v>
      </c>
      <c r="Y45" s="27" t="s">
        <v>199</v>
      </c>
      <c r="Z45" s="36" t="s">
        <v>199</v>
      </c>
      <c r="AA45" s="89">
        <v>85000</v>
      </c>
    </row>
    <row r="46" spans="1:29" ht="135" x14ac:dyDescent="0.25">
      <c r="A46">
        <v>44</v>
      </c>
      <c r="B46" s="39">
        <v>22</v>
      </c>
      <c r="C46" s="78" t="s">
        <v>75</v>
      </c>
      <c r="D46" s="184">
        <f t="shared" si="1"/>
        <v>45</v>
      </c>
      <c r="E46" s="183">
        <v>1171863</v>
      </c>
      <c r="F46" s="27" t="s">
        <v>79</v>
      </c>
      <c r="G46" s="36" t="s">
        <v>79</v>
      </c>
      <c r="S46" s="144" t="s">
        <v>3</v>
      </c>
      <c r="T46" s="154" t="s">
        <v>219</v>
      </c>
      <c r="U46" s="155" t="s">
        <v>175</v>
      </c>
      <c r="V46" s="167" t="s">
        <v>176</v>
      </c>
      <c r="W46" s="167" t="s">
        <v>177</v>
      </c>
      <c r="X46" s="167" t="s">
        <v>180</v>
      </c>
      <c r="Y46" s="167" t="s">
        <v>221</v>
      </c>
      <c r="Z46" s="156" t="s">
        <v>222</v>
      </c>
    </row>
    <row r="47" spans="1:29" x14ac:dyDescent="0.25">
      <c r="A47">
        <v>45</v>
      </c>
      <c r="B47" s="39"/>
      <c r="C47" s="78"/>
      <c r="D47" s="184"/>
      <c r="E47" s="183"/>
      <c r="F47" s="27"/>
      <c r="G47" s="36"/>
      <c r="S47" s="145" t="s">
        <v>198</v>
      </c>
      <c r="T47" s="154" t="s">
        <v>219</v>
      </c>
      <c r="U47" s="155" t="s">
        <v>180</v>
      </c>
      <c r="V47" s="167" t="s">
        <v>199</v>
      </c>
      <c r="W47" s="167" t="s">
        <v>199</v>
      </c>
      <c r="X47" s="167" t="s">
        <v>199</v>
      </c>
      <c r="Y47" s="167" t="s">
        <v>199</v>
      </c>
      <c r="Z47" s="156" t="s">
        <v>199</v>
      </c>
    </row>
    <row r="48" spans="1:29" ht="15.75" thickBot="1" x14ac:dyDescent="0.3">
      <c r="A48">
        <v>46</v>
      </c>
      <c r="B48" s="39"/>
      <c r="C48" s="75"/>
      <c r="D48" s="40"/>
      <c r="E48" s="41"/>
      <c r="F48" s="37"/>
      <c r="G48" s="38"/>
      <c r="S48" s="145" t="s">
        <v>1</v>
      </c>
      <c r="T48" s="154" t="s">
        <v>219</v>
      </c>
      <c r="U48" s="155" t="s">
        <v>178</v>
      </c>
      <c r="V48" s="155" t="s">
        <v>199</v>
      </c>
      <c r="W48" s="168" t="s">
        <v>199</v>
      </c>
      <c r="X48" s="155" t="s">
        <v>199</v>
      </c>
      <c r="Y48" s="167" t="s">
        <v>199</v>
      </c>
      <c r="Z48" s="156" t="s">
        <v>199</v>
      </c>
    </row>
    <row r="49" spans="1:26" x14ac:dyDescent="0.25">
      <c r="A49">
        <v>47</v>
      </c>
      <c r="S49" s="145" t="s">
        <v>2</v>
      </c>
      <c r="T49" s="154" t="s">
        <v>222</v>
      </c>
      <c r="U49" s="155" t="s">
        <v>176</v>
      </c>
      <c r="V49" s="155" t="s">
        <v>177</v>
      </c>
      <c r="W49" s="167" t="s">
        <v>199</v>
      </c>
      <c r="X49" s="167" t="s">
        <v>199</v>
      </c>
      <c r="Y49" s="167" t="s">
        <v>199</v>
      </c>
      <c r="Z49" s="156" t="s">
        <v>199</v>
      </c>
    </row>
    <row r="50" spans="1:26" ht="30" x14ac:dyDescent="0.25">
      <c r="A50">
        <v>48</v>
      </c>
      <c r="S50" s="145" t="s">
        <v>11</v>
      </c>
      <c r="T50" s="154" t="s">
        <v>221</v>
      </c>
      <c r="U50" s="167" t="s">
        <v>199</v>
      </c>
      <c r="V50" s="167" t="s">
        <v>199</v>
      </c>
      <c r="W50" s="167" t="s">
        <v>199</v>
      </c>
      <c r="X50" s="167" t="s">
        <v>199</v>
      </c>
      <c r="Y50" s="167" t="s">
        <v>199</v>
      </c>
      <c r="Z50" s="156" t="s">
        <v>199</v>
      </c>
    </row>
    <row r="51" spans="1:26" ht="30" x14ac:dyDescent="0.25">
      <c r="A51">
        <v>49</v>
      </c>
      <c r="S51" s="145" t="s">
        <v>12</v>
      </c>
      <c r="T51" s="154" t="s">
        <v>221</v>
      </c>
      <c r="U51" s="167" t="s">
        <v>199</v>
      </c>
      <c r="V51" s="167" t="s">
        <v>199</v>
      </c>
      <c r="W51" s="167" t="s">
        <v>199</v>
      </c>
      <c r="X51" s="167" t="s">
        <v>199</v>
      </c>
      <c r="Y51" s="167" t="s">
        <v>199</v>
      </c>
      <c r="Z51" s="156" t="s">
        <v>199</v>
      </c>
    </row>
    <row r="52" spans="1:26" x14ac:dyDescent="0.25">
      <c r="A52">
        <v>50</v>
      </c>
      <c r="S52" s="145" t="s">
        <v>205</v>
      </c>
      <c r="T52" s="154" t="s">
        <v>220</v>
      </c>
      <c r="U52" s="167" t="s">
        <v>199</v>
      </c>
      <c r="V52" s="167" t="s">
        <v>199</v>
      </c>
      <c r="W52" s="167" t="s">
        <v>199</v>
      </c>
      <c r="X52" s="167" t="s">
        <v>199</v>
      </c>
      <c r="Y52" s="167" t="s">
        <v>199</v>
      </c>
      <c r="Z52" s="156" t="s">
        <v>199</v>
      </c>
    </row>
    <row r="53" spans="1:26" ht="15.75" thickBot="1" x14ac:dyDescent="0.3">
      <c r="A53">
        <v>51</v>
      </c>
      <c r="S53" s="146" t="s">
        <v>204</v>
      </c>
      <c r="T53" s="138" t="str">
        <f>+IF('COSTOS POR PESV'!$D$102='DATOS PESV'!$S$21,'DATOS PESV'!T43,IF('COSTOS POR PESV'!$D$102='DATOS PESV'!$S$22,'DATOS PESV'!T44,IF('COSTOS POR PESV'!$D$102='DATOS PESV'!$S$23,'DATOS PESV'!T45,IF('COSTOS POR PESV'!$D$102='DATOS PESV'!$S$24,'DATOS PESV'!T46,IF('COSTOS POR PESV'!$D$102='DATOS PESV'!$S$25,'DATOS PESV'!T47,IF('COSTOS POR PESV'!$D$102='DATOS PESV'!$S$26,'DATOS PESV'!T48,IF('COSTOS POR PESV'!$D$102='DATOS PESV'!$S$27,'DATOS PESV'!T49,IF('COSTOS POR PESV'!$D$102='DATOS PESV'!$S$28,'DATOS PESV'!T50,IF('COSTOS POR PESV'!$D$102='DATOS PESV'!$S$29,'DATOS PESV'!T51,IF('COSTOS POR PESV'!$D$102='DATOS PESV'!$S$30,'DATOS PESV'!T52,0))))))))))</f>
        <v>AFIRMADO</v>
      </c>
      <c r="U53" s="138" t="str">
        <f>+IF('COSTOS POR PESV'!$D$102='DATOS PESV'!$S$21,'DATOS PESV'!U43,IF('COSTOS POR PESV'!$D$102='DATOS PESV'!$S$22,'DATOS PESV'!U44,IF('COSTOS POR PESV'!$D$102='DATOS PESV'!$S$23,'DATOS PESV'!U45,IF('COSTOS POR PESV'!$D$102='DATOS PESV'!$S$24,'DATOS PESV'!U46,IF('COSTOS POR PESV'!$D$102='DATOS PESV'!$S$25,'DATOS PESV'!U47,IF('COSTOS POR PESV'!$D$102='DATOS PESV'!$S$26,'DATOS PESV'!#REF!,IF('COSTOS POR PESV'!$D$102='DATOS PESV'!$S$27,'DATOS PESV'!U49,IF('COSTOS POR PESV'!$D$102='DATOS PESV'!$S$28,'DATOS PESV'!U50,IF('COSTOS POR PESV'!$D$102='DATOS PESV'!$S$29,'DATOS PESV'!U51,IF('COSTOS POR PESV'!$D$102='DATOS PESV'!$S$30,'DATOS PESV'!U52,0))))))))))</f>
        <v>RELLENO EN SUB BASE GRANULAR</v>
      </c>
      <c r="V53" s="138" t="str">
        <f>+IF('COSTOS POR PESV'!$D$102='DATOS PESV'!$S$21,'DATOS PESV'!V43,IF('COSTOS POR PESV'!$D$102='DATOS PESV'!$S$22,'DATOS PESV'!V44,IF('COSTOS POR PESV'!$D$102='DATOS PESV'!$S$23,'DATOS PESV'!V45,IF('COSTOS POR PESV'!$D$102='DATOS PESV'!$S$24,'DATOS PESV'!V46,IF('COSTOS POR PESV'!$D$102='DATOS PESV'!$S$25,'DATOS PESV'!V47,IF('COSTOS POR PESV'!$D$102='DATOS PESV'!$S$26,'DATOS PESV'!#REF!,IF('COSTOS POR PESV'!$D$102='DATOS PESV'!$S$27,'DATOS PESV'!V49,IF('COSTOS POR PESV'!$D$102='DATOS PESV'!$S$28,'DATOS PESV'!V50,IF('COSTOS POR PESV'!$D$102='DATOS PESV'!$S$29,'DATOS PESV'!V51,IF('COSTOS POR PESV'!$D$102='DATOS PESV'!$S$30,'DATOS PESV'!V52,0))))))))))</f>
        <v>RELLENO EN BASE GRANULAR</v>
      </c>
      <c r="W53" s="138" t="str">
        <f>+IF('COSTOS POR PESV'!$D$102='DATOS PESV'!$S$21,'DATOS PESV'!W43,IF('COSTOS POR PESV'!$D$102='DATOS PESV'!$S$22,'DATOS PESV'!W44,IF('COSTOS POR PESV'!$D$102='DATOS PESV'!$S$23,'DATOS PESV'!W45,IF('COSTOS POR PESV'!$D$102='DATOS PESV'!$S$24,'DATOS PESV'!W46,IF('COSTOS POR PESV'!$D$102='DATOS PESV'!$S$25,'DATOS PESV'!W47,IF('COSTOS POR PESV'!$D$102='DATOS PESV'!$S$26,'DATOS PESV'!#REF!,IF('COSTOS POR PESV'!$D$102='DATOS PESV'!$S$27,'DATOS PESV'!W49,IF('COSTOS POR PESV'!$D$102='DATOS PESV'!$S$28,'DATOS PESV'!W50,IF('COSTOS POR PESV'!$D$102='DATOS PESV'!$S$29,'DATOS PESV'!W51,IF('COSTOS POR PESV'!$D$102='DATOS PESV'!$S$30,'DATOS PESV'!W52,0))))))))))</f>
        <v>-</v>
      </c>
      <c r="X53" s="138" t="str">
        <f>+IF('COSTOS POR PESV'!$D$102='DATOS PESV'!$S$21,'DATOS PESV'!X43,IF('COSTOS POR PESV'!$D$102='DATOS PESV'!$S$22,'DATOS PESV'!X44,IF('COSTOS POR PESV'!$D$102='DATOS PESV'!$S$23,'DATOS PESV'!X45,IF('COSTOS POR PESV'!$D$102='DATOS PESV'!$S$24,'DATOS PESV'!X46,IF('COSTOS POR PESV'!$D$102='DATOS PESV'!$S$25,'DATOS PESV'!X47,IF('COSTOS POR PESV'!$D$102='DATOS PESV'!$S$26,'DATOS PESV'!V48,IF('COSTOS POR PESV'!$D$102='DATOS PESV'!$S$27,'DATOS PESV'!X49,IF('COSTOS POR PESV'!$D$102='DATOS PESV'!$S$28,'DATOS PESV'!X50,IF('COSTOS POR PESV'!$D$102='DATOS PESV'!$S$29,'DATOS PESV'!X51,IF('COSTOS POR PESV'!$D$102='DATOS PESV'!$S$30,'DATOS PESV'!X52,0))))))))))</f>
        <v>-</v>
      </c>
      <c r="Y53" s="138" t="str">
        <f>+IF('COSTOS POR PESV'!$D$102='DATOS PESV'!$S$21,'DATOS PESV'!Y43,IF('COSTOS POR PESV'!$D$102='DATOS PESV'!$S$22,'DATOS PESV'!Y44,IF('COSTOS POR PESV'!$D$102='DATOS PESV'!$S$23,'DATOS PESV'!Y45,IF('COSTOS POR PESV'!$D$102='DATOS PESV'!$S$24,'DATOS PESV'!Y46,IF('COSTOS POR PESV'!$D$102='DATOS PESV'!$S$25,'DATOS PESV'!Y47,IF('COSTOS POR PESV'!$D$102='DATOS PESV'!$S$26,'DATOS PESV'!U48,IF('COSTOS POR PESV'!$D$102='DATOS PESV'!$S$27,'DATOS PESV'!Y49,IF('COSTOS POR PESV'!$D$102='DATOS PESV'!$S$28,'DATOS PESV'!Y50,IF('COSTOS POR PESV'!$D$102='DATOS PESV'!$S$29,'DATOS PESV'!Y51,IF('COSTOS POR PESV'!$D$102='DATOS PESV'!$S$30,'DATOS PESV'!Y52,0))))))))))</f>
        <v>-</v>
      </c>
      <c r="Z53" s="152" t="str">
        <f>+IF('COSTOS POR PESV'!$D$102='DATOS PESV'!$S$21,'DATOS PESV'!Z43,IF('COSTOS POR PESV'!$D$102='DATOS PESV'!$S$22,'DATOS PESV'!Z44,IF('COSTOS POR PESV'!$D$102='DATOS PESV'!$S$23,'DATOS PESV'!Z45,IF('COSTOS POR PESV'!$D$102='DATOS PESV'!$S$24,'DATOS PESV'!Z46,IF('COSTOS POR PESV'!$D$102='DATOS PESV'!$S$25,'DATOS PESV'!Z47,IF('COSTOS POR PESV'!$D$102='DATOS PESV'!$S$26,'DATOS PESV'!X48,IF('COSTOS POR PESV'!$D$102='DATOS PESV'!$S$27,'DATOS PESV'!Z49,IF('COSTOS POR PESV'!$D$102='DATOS PESV'!$S$28,'DATOS PESV'!Z50,IF('COSTOS POR PESV'!$D$102='DATOS PESV'!$S$29,'DATOS PESV'!Z51,IF('COSTOS POR PESV'!$D$102='DATOS PESV'!$S$30,'DATOS PESV'!Z52,0))))))))))</f>
        <v>-</v>
      </c>
    </row>
    <row r="54" spans="1:26" x14ac:dyDescent="0.25">
      <c r="A54">
        <v>52</v>
      </c>
      <c r="Z54" s="91"/>
    </row>
    <row r="55" spans="1:26" x14ac:dyDescent="0.25">
      <c r="A55">
        <v>53</v>
      </c>
    </row>
    <row r="56" spans="1:26" x14ac:dyDescent="0.25">
      <c r="A56">
        <v>54</v>
      </c>
    </row>
    <row r="57" spans="1:26" x14ac:dyDescent="0.25">
      <c r="A57">
        <v>55</v>
      </c>
    </row>
    <row r="58" spans="1:26" x14ac:dyDescent="0.25">
      <c r="A58">
        <v>56</v>
      </c>
    </row>
    <row r="59" spans="1:26" x14ac:dyDescent="0.25">
      <c r="A59">
        <v>57</v>
      </c>
    </row>
    <row r="60" spans="1:26" x14ac:dyDescent="0.25">
      <c r="A60">
        <v>58</v>
      </c>
    </row>
    <row r="61" spans="1:26" x14ac:dyDescent="0.25">
      <c r="A61">
        <v>59</v>
      </c>
    </row>
    <row r="62" spans="1:26" x14ac:dyDescent="0.25">
      <c r="A62">
        <v>60</v>
      </c>
    </row>
    <row r="63" spans="1:26" x14ac:dyDescent="0.25">
      <c r="A63">
        <v>61</v>
      </c>
    </row>
    <row r="64" spans="1:26" x14ac:dyDescent="0.25">
      <c r="A64">
        <v>62</v>
      </c>
    </row>
    <row r="65" spans="1:1" x14ac:dyDescent="0.25">
      <c r="A65">
        <v>63</v>
      </c>
    </row>
    <row r="66" spans="1:1" x14ac:dyDescent="0.25">
      <c r="A66">
        <v>64</v>
      </c>
    </row>
    <row r="67" spans="1:1" x14ac:dyDescent="0.25">
      <c r="A67">
        <v>65</v>
      </c>
    </row>
    <row r="68" spans="1:1" x14ac:dyDescent="0.25">
      <c r="A68">
        <v>66</v>
      </c>
    </row>
    <row r="69" spans="1:1" x14ac:dyDescent="0.25">
      <c r="A69">
        <v>67</v>
      </c>
    </row>
    <row r="70" spans="1:1" x14ac:dyDescent="0.25">
      <c r="A70">
        <v>68</v>
      </c>
    </row>
    <row r="71" spans="1:1" x14ac:dyDescent="0.25">
      <c r="A71">
        <v>69</v>
      </c>
    </row>
    <row r="72" spans="1:1" x14ac:dyDescent="0.25">
      <c r="A72">
        <v>70</v>
      </c>
    </row>
    <row r="73" spans="1:1" x14ac:dyDescent="0.25">
      <c r="A73">
        <v>71</v>
      </c>
    </row>
    <row r="74" spans="1:1" x14ac:dyDescent="0.25">
      <c r="A74">
        <v>72</v>
      </c>
    </row>
    <row r="75" spans="1:1" x14ac:dyDescent="0.25">
      <c r="A75">
        <v>73</v>
      </c>
    </row>
    <row r="76" spans="1:1" x14ac:dyDescent="0.25">
      <c r="A76">
        <v>74</v>
      </c>
    </row>
    <row r="77" spans="1:1" x14ac:dyDescent="0.25">
      <c r="A77">
        <v>75</v>
      </c>
    </row>
    <row r="78" spans="1:1" x14ac:dyDescent="0.25">
      <c r="A78">
        <v>76</v>
      </c>
    </row>
    <row r="79" spans="1:1" x14ac:dyDescent="0.25">
      <c r="A79">
        <v>77</v>
      </c>
    </row>
    <row r="80" spans="1:1" x14ac:dyDescent="0.25">
      <c r="A80">
        <v>78</v>
      </c>
    </row>
    <row r="81" spans="1:1" x14ac:dyDescent="0.25">
      <c r="A81">
        <v>79</v>
      </c>
    </row>
    <row r="82" spans="1:1" x14ac:dyDescent="0.25">
      <c r="A82">
        <v>80</v>
      </c>
    </row>
    <row r="83" spans="1:1" x14ac:dyDescent="0.25">
      <c r="A83">
        <v>81</v>
      </c>
    </row>
    <row r="84" spans="1:1" x14ac:dyDescent="0.25">
      <c r="A84">
        <v>82</v>
      </c>
    </row>
    <row r="85" spans="1:1" x14ac:dyDescent="0.25">
      <c r="A85">
        <v>83</v>
      </c>
    </row>
    <row r="86" spans="1:1" x14ac:dyDescent="0.25">
      <c r="A86">
        <v>84</v>
      </c>
    </row>
    <row r="87" spans="1:1" x14ac:dyDescent="0.25">
      <c r="A87">
        <v>85</v>
      </c>
    </row>
    <row r="88" spans="1:1" x14ac:dyDescent="0.25">
      <c r="A88">
        <v>86</v>
      </c>
    </row>
    <row r="89" spans="1:1" x14ac:dyDescent="0.25">
      <c r="A89">
        <v>87</v>
      </c>
    </row>
    <row r="90" spans="1:1" x14ac:dyDescent="0.25">
      <c r="A90">
        <v>88</v>
      </c>
    </row>
    <row r="91" spans="1:1" x14ac:dyDescent="0.25">
      <c r="A91">
        <v>89</v>
      </c>
    </row>
    <row r="92" spans="1:1" x14ac:dyDescent="0.25">
      <c r="A92">
        <v>90</v>
      </c>
    </row>
    <row r="93" spans="1:1" x14ac:dyDescent="0.25">
      <c r="A93">
        <v>91</v>
      </c>
    </row>
    <row r="94" spans="1:1" x14ac:dyDescent="0.25">
      <c r="A94">
        <v>92</v>
      </c>
    </row>
    <row r="95" spans="1:1" x14ac:dyDescent="0.25">
      <c r="A95">
        <v>93</v>
      </c>
    </row>
    <row r="96" spans="1:1" x14ac:dyDescent="0.25">
      <c r="A96">
        <v>94</v>
      </c>
    </row>
    <row r="97" spans="1:1" x14ac:dyDescent="0.25">
      <c r="A97">
        <v>95</v>
      </c>
    </row>
    <row r="98" spans="1:1" x14ac:dyDescent="0.25">
      <c r="A98">
        <v>96</v>
      </c>
    </row>
    <row r="99" spans="1:1" x14ac:dyDescent="0.25">
      <c r="A99">
        <v>97</v>
      </c>
    </row>
    <row r="100" spans="1:1" x14ac:dyDescent="0.25">
      <c r="A100">
        <v>98</v>
      </c>
    </row>
    <row r="101" spans="1:1" x14ac:dyDescent="0.25">
      <c r="A101">
        <v>99</v>
      </c>
    </row>
    <row r="102" spans="1:1" x14ac:dyDescent="0.25">
      <c r="A102">
        <v>100</v>
      </c>
    </row>
    <row r="103" spans="1:1" x14ac:dyDescent="0.25">
      <c r="A103">
        <v>101</v>
      </c>
    </row>
    <row r="104" spans="1:1" x14ac:dyDescent="0.25">
      <c r="A104">
        <v>102</v>
      </c>
    </row>
    <row r="105" spans="1:1" x14ac:dyDescent="0.25">
      <c r="A105">
        <v>103</v>
      </c>
    </row>
    <row r="106" spans="1:1" x14ac:dyDescent="0.25">
      <c r="A106">
        <v>104</v>
      </c>
    </row>
    <row r="107" spans="1:1" x14ac:dyDescent="0.25">
      <c r="A107">
        <v>105</v>
      </c>
    </row>
    <row r="108" spans="1:1" x14ac:dyDescent="0.25">
      <c r="A108">
        <v>106</v>
      </c>
    </row>
    <row r="109" spans="1:1" x14ac:dyDescent="0.25">
      <c r="A109">
        <v>107</v>
      </c>
    </row>
    <row r="110" spans="1:1" x14ac:dyDescent="0.25">
      <c r="A110">
        <v>108</v>
      </c>
    </row>
    <row r="111" spans="1:1" x14ac:dyDescent="0.25">
      <c r="A111">
        <v>109</v>
      </c>
    </row>
    <row r="112" spans="1:1" x14ac:dyDescent="0.25">
      <c r="A112">
        <v>110</v>
      </c>
    </row>
    <row r="113" spans="1:1" x14ac:dyDescent="0.25">
      <c r="A113">
        <v>111</v>
      </c>
    </row>
    <row r="114" spans="1:1" x14ac:dyDescent="0.25">
      <c r="A114">
        <v>112</v>
      </c>
    </row>
    <row r="115" spans="1:1" x14ac:dyDescent="0.25">
      <c r="A115">
        <v>113</v>
      </c>
    </row>
    <row r="116" spans="1:1" x14ac:dyDescent="0.25">
      <c r="A116">
        <v>114</v>
      </c>
    </row>
    <row r="117" spans="1:1" x14ac:dyDescent="0.25">
      <c r="A117">
        <v>115</v>
      </c>
    </row>
    <row r="118" spans="1:1" x14ac:dyDescent="0.25">
      <c r="A118">
        <v>116</v>
      </c>
    </row>
    <row r="119" spans="1:1" x14ac:dyDescent="0.25">
      <c r="A119">
        <v>117</v>
      </c>
    </row>
    <row r="120" spans="1:1" x14ac:dyDescent="0.25">
      <c r="A120">
        <v>118</v>
      </c>
    </row>
    <row r="121" spans="1:1" x14ac:dyDescent="0.25">
      <c r="A121">
        <v>119</v>
      </c>
    </row>
    <row r="122" spans="1:1" x14ac:dyDescent="0.25">
      <c r="A122">
        <v>120</v>
      </c>
    </row>
    <row r="123" spans="1:1" x14ac:dyDescent="0.25">
      <c r="A123">
        <v>121</v>
      </c>
    </row>
    <row r="124" spans="1:1" x14ac:dyDescent="0.25">
      <c r="A124">
        <v>122</v>
      </c>
    </row>
    <row r="125" spans="1:1" x14ac:dyDescent="0.25">
      <c r="A125">
        <v>123</v>
      </c>
    </row>
    <row r="126" spans="1:1" x14ac:dyDescent="0.25">
      <c r="A126">
        <v>124</v>
      </c>
    </row>
    <row r="127" spans="1:1" x14ac:dyDescent="0.25">
      <c r="A127">
        <v>125</v>
      </c>
    </row>
    <row r="128" spans="1:1" x14ac:dyDescent="0.25">
      <c r="A128">
        <v>126</v>
      </c>
    </row>
    <row r="129" spans="1:1" x14ac:dyDescent="0.25">
      <c r="A129">
        <v>127</v>
      </c>
    </row>
    <row r="130" spans="1:1" x14ac:dyDescent="0.25">
      <c r="A130">
        <v>128</v>
      </c>
    </row>
    <row r="131" spans="1:1" x14ac:dyDescent="0.25">
      <c r="A131">
        <v>129</v>
      </c>
    </row>
    <row r="132" spans="1:1" x14ac:dyDescent="0.25">
      <c r="A132">
        <v>130</v>
      </c>
    </row>
    <row r="133" spans="1:1" x14ac:dyDescent="0.25">
      <c r="A133">
        <v>131</v>
      </c>
    </row>
    <row r="134" spans="1:1" x14ac:dyDescent="0.25">
      <c r="A134">
        <v>132</v>
      </c>
    </row>
    <row r="135" spans="1:1" x14ac:dyDescent="0.25">
      <c r="A135">
        <v>133</v>
      </c>
    </row>
    <row r="136" spans="1:1" x14ac:dyDescent="0.25">
      <c r="A136">
        <v>134</v>
      </c>
    </row>
    <row r="137" spans="1:1" x14ac:dyDescent="0.25">
      <c r="A137">
        <v>135</v>
      </c>
    </row>
    <row r="138" spans="1:1" x14ac:dyDescent="0.25">
      <c r="A138">
        <v>136</v>
      </c>
    </row>
    <row r="139" spans="1:1" x14ac:dyDescent="0.25">
      <c r="A139">
        <v>137</v>
      </c>
    </row>
    <row r="140" spans="1:1" x14ac:dyDescent="0.25">
      <c r="A140">
        <v>138</v>
      </c>
    </row>
    <row r="141" spans="1:1" x14ac:dyDescent="0.25">
      <c r="A141">
        <v>139</v>
      </c>
    </row>
    <row r="142" spans="1:1" x14ac:dyDescent="0.25">
      <c r="A142">
        <v>140</v>
      </c>
    </row>
    <row r="143" spans="1:1" x14ac:dyDescent="0.25">
      <c r="A143">
        <v>141</v>
      </c>
    </row>
    <row r="144" spans="1:1" x14ac:dyDescent="0.25">
      <c r="A144">
        <v>142</v>
      </c>
    </row>
    <row r="145" spans="1:1" x14ac:dyDescent="0.25">
      <c r="A145">
        <v>143</v>
      </c>
    </row>
    <row r="146" spans="1:1" x14ac:dyDescent="0.25">
      <c r="A146">
        <v>144</v>
      </c>
    </row>
    <row r="147" spans="1:1" x14ac:dyDescent="0.25">
      <c r="A147">
        <v>145</v>
      </c>
    </row>
    <row r="148" spans="1:1" x14ac:dyDescent="0.25">
      <c r="A148">
        <v>146</v>
      </c>
    </row>
    <row r="149" spans="1:1" x14ac:dyDescent="0.25">
      <c r="A149">
        <v>147</v>
      </c>
    </row>
    <row r="150" spans="1:1" x14ac:dyDescent="0.25">
      <c r="A150">
        <v>148</v>
      </c>
    </row>
    <row r="151" spans="1:1" x14ac:dyDescent="0.25">
      <c r="A151">
        <v>149</v>
      </c>
    </row>
    <row r="152" spans="1:1" x14ac:dyDescent="0.25">
      <c r="A152">
        <v>150</v>
      </c>
    </row>
    <row r="153" spans="1:1" x14ac:dyDescent="0.25">
      <c r="A153">
        <v>151</v>
      </c>
    </row>
    <row r="154" spans="1:1" x14ac:dyDescent="0.25">
      <c r="A154">
        <v>152</v>
      </c>
    </row>
    <row r="155" spans="1:1" x14ac:dyDescent="0.25">
      <c r="A155">
        <v>153</v>
      </c>
    </row>
    <row r="156" spans="1:1" x14ac:dyDescent="0.25">
      <c r="A156">
        <v>154</v>
      </c>
    </row>
    <row r="157" spans="1:1" x14ac:dyDescent="0.25">
      <c r="A157">
        <v>155</v>
      </c>
    </row>
    <row r="158" spans="1:1" x14ac:dyDescent="0.25">
      <c r="A158">
        <v>156</v>
      </c>
    </row>
    <row r="159" spans="1:1" x14ac:dyDescent="0.25">
      <c r="A159">
        <v>157</v>
      </c>
    </row>
    <row r="160" spans="1:1" x14ac:dyDescent="0.25">
      <c r="A160">
        <v>158</v>
      </c>
    </row>
    <row r="161" spans="1:1" x14ac:dyDescent="0.25">
      <c r="A161">
        <v>159</v>
      </c>
    </row>
    <row r="162" spans="1:1" x14ac:dyDescent="0.25">
      <c r="A162">
        <v>160</v>
      </c>
    </row>
    <row r="163" spans="1:1" x14ac:dyDescent="0.25">
      <c r="A163">
        <v>161</v>
      </c>
    </row>
    <row r="164" spans="1:1" x14ac:dyDescent="0.25">
      <c r="A164">
        <v>162</v>
      </c>
    </row>
    <row r="165" spans="1:1" x14ac:dyDescent="0.25">
      <c r="A165">
        <v>163</v>
      </c>
    </row>
    <row r="166" spans="1:1" x14ac:dyDescent="0.25">
      <c r="A166">
        <v>164</v>
      </c>
    </row>
    <row r="167" spans="1:1" x14ac:dyDescent="0.25">
      <c r="A167">
        <v>165</v>
      </c>
    </row>
    <row r="168" spans="1:1" x14ac:dyDescent="0.25">
      <c r="A168">
        <v>166</v>
      </c>
    </row>
    <row r="169" spans="1:1" x14ac:dyDescent="0.25">
      <c r="A169">
        <v>167</v>
      </c>
    </row>
    <row r="170" spans="1:1" x14ac:dyDescent="0.25">
      <c r="A170">
        <v>168</v>
      </c>
    </row>
    <row r="171" spans="1:1" x14ac:dyDescent="0.25">
      <c r="A171">
        <v>169</v>
      </c>
    </row>
    <row r="172" spans="1:1" x14ac:dyDescent="0.25">
      <c r="A172">
        <v>170</v>
      </c>
    </row>
    <row r="173" spans="1:1" x14ac:dyDescent="0.25">
      <c r="A173">
        <v>171</v>
      </c>
    </row>
    <row r="174" spans="1:1" x14ac:dyDescent="0.25">
      <c r="A174">
        <v>172</v>
      </c>
    </row>
    <row r="175" spans="1:1" x14ac:dyDescent="0.25">
      <c r="A175">
        <v>173</v>
      </c>
    </row>
    <row r="176" spans="1:1" x14ac:dyDescent="0.25">
      <c r="A176">
        <v>174</v>
      </c>
    </row>
    <row r="177" spans="1:1" x14ac:dyDescent="0.25">
      <c r="A177">
        <v>175</v>
      </c>
    </row>
    <row r="178" spans="1:1" x14ac:dyDescent="0.25">
      <c r="A178">
        <v>176</v>
      </c>
    </row>
    <row r="179" spans="1:1" x14ac:dyDescent="0.25">
      <c r="A179">
        <v>177</v>
      </c>
    </row>
    <row r="180" spans="1:1" x14ac:dyDescent="0.25">
      <c r="A180">
        <v>178</v>
      </c>
    </row>
    <row r="181" spans="1:1" x14ac:dyDescent="0.25">
      <c r="A181">
        <v>179</v>
      </c>
    </row>
    <row r="182" spans="1:1" x14ac:dyDescent="0.25">
      <c r="A182">
        <v>180</v>
      </c>
    </row>
    <row r="183" spans="1:1" x14ac:dyDescent="0.25">
      <c r="A183">
        <v>181</v>
      </c>
    </row>
    <row r="184" spans="1:1" x14ac:dyDescent="0.25">
      <c r="A184">
        <v>182</v>
      </c>
    </row>
    <row r="185" spans="1:1" x14ac:dyDescent="0.25">
      <c r="A185">
        <v>183</v>
      </c>
    </row>
    <row r="186" spans="1:1" x14ac:dyDescent="0.25">
      <c r="A186">
        <v>184</v>
      </c>
    </row>
    <row r="187" spans="1:1" x14ac:dyDescent="0.25">
      <c r="A187">
        <v>185</v>
      </c>
    </row>
    <row r="188" spans="1:1" x14ac:dyDescent="0.25">
      <c r="A188">
        <v>186</v>
      </c>
    </row>
    <row r="189" spans="1:1" x14ac:dyDescent="0.25">
      <c r="A189">
        <v>187</v>
      </c>
    </row>
    <row r="190" spans="1:1" x14ac:dyDescent="0.25">
      <c r="A190">
        <v>188</v>
      </c>
    </row>
    <row r="191" spans="1:1" x14ac:dyDescent="0.25">
      <c r="A191">
        <v>189</v>
      </c>
    </row>
    <row r="192" spans="1:1" x14ac:dyDescent="0.25">
      <c r="A192">
        <v>190</v>
      </c>
    </row>
    <row r="193" spans="1:1" x14ac:dyDescent="0.25">
      <c r="A193">
        <v>191</v>
      </c>
    </row>
    <row r="194" spans="1:1" x14ac:dyDescent="0.25">
      <c r="A194">
        <v>192</v>
      </c>
    </row>
    <row r="195" spans="1:1" x14ac:dyDescent="0.25">
      <c r="A195">
        <v>193</v>
      </c>
    </row>
    <row r="196" spans="1:1" x14ac:dyDescent="0.25">
      <c r="A196">
        <v>194</v>
      </c>
    </row>
    <row r="197" spans="1:1" x14ac:dyDescent="0.25">
      <c r="A197">
        <v>195</v>
      </c>
    </row>
    <row r="198" spans="1:1" x14ac:dyDescent="0.25">
      <c r="A198">
        <v>196</v>
      </c>
    </row>
    <row r="199" spans="1:1" x14ac:dyDescent="0.25">
      <c r="A199">
        <v>197</v>
      </c>
    </row>
    <row r="200" spans="1:1" x14ac:dyDescent="0.25">
      <c r="A200">
        <v>198</v>
      </c>
    </row>
    <row r="201" spans="1:1" x14ac:dyDescent="0.25">
      <c r="A201">
        <v>199</v>
      </c>
    </row>
    <row r="202" spans="1:1" x14ac:dyDescent="0.25">
      <c r="A202">
        <v>200</v>
      </c>
    </row>
    <row r="203" spans="1:1" x14ac:dyDescent="0.25">
      <c r="A203">
        <v>201</v>
      </c>
    </row>
    <row r="204" spans="1:1" x14ac:dyDescent="0.25">
      <c r="A204">
        <v>202</v>
      </c>
    </row>
    <row r="205" spans="1:1" x14ac:dyDescent="0.25">
      <c r="A205">
        <v>203</v>
      </c>
    </row>
    <row r="206" spans="1:1" x14ac:dyDescent="0.25">
      <c r="A206">
        <v>204</v>
      </c>
    </row>
    <row r="207" spans="1:1" x14ac:dyDescent="0.25">
      <c r="A207">
        <v>205</v>
      </c>
    </row>
    <row r="208" spans="1:1" x14ac:dyDescent="0.25">
      <c r="A208">
        <v>206</v>
      </c>
    </row>
    <row r="209" spans="1:1" x14ac:dyDescent="0.25">
      <c r="A209">
        <v>207</v>
      </c>
    </row>
    <row r="210" spans="1:1" x14ac:dyDescent="0.25">
      <c r="A210">
        <v>208</v>
      </c>
    </row>
    <row r="211" spans="1:1" x14ac:dyDescent="0.25">
      <c r="A211">
        <v>209</v>
      </c>
    </row>
    <row r="212" spans="1:1" x14ac:dyDescent="0.25">
      <c r="A212">
        <v>210</v>
      </c>
    </row>
    <row r="213" spans="1:1" x14ac:dyDescent="0.25">
      <c r="A213">
        <v>211</v>
      </c>
    </row>
    <row r="214" spans="1:1" x14ac:dyDescent="0.25">
      <c r="A214">
        <v>212</v>
      </c>
    </row>
    <row r="215" spans="1:1" x14ac:dyDescent="0.25">
      <c r="A215">
        <v>213</v>
      </c>
    </row>
    <row r="216" spans="1:1" x14ac:dyDescent="0.25">
      <c r="A216">
        <v>214</v>
      </c>
    </row>
    <row r="217" spans="1:1" x14ac:dyDescent="0.25">
      <c r="A217">
        <v>215</v>
      </c>
    </row>
    <row r="218" spans="1:1" x14ac:dyDescent="0.25">
      <c r="A218">
        <v>216</v>
      </c>
    </row>
    <row r="219" spans="1:1" x14ac:dyDescent="0.25">
      <c r="A219">
        <v>217</v>
      </c>
    </row>
    <row r="220" spans="1:1" x14ac:dyDescent="0.25">
      <c r="A220">
        <v>218</v>
      </c>
    </row>
    <row r="221" spans="1:1" x14ac:dyDescent="0.25">
      <c r="A221">
        <v>219</v>
      </c>
    </row>
    <row r="222" spans="1:1" x14ac:dyDescent="0.25">
      <c r="A222">
        <v>220</v>
      </c>
    </row>
    <row r="223" spans="1:1" x14ac:dyDescent="0.25">
      <c r="A223">
        <v>221</v>
      </c>
    </row>
    <row r="224" spans="1:1" x14ac:dyDescent="0.25">
      <c r="A224">
        <v>222</v>
      </c>
    </row>
    <row r="225" spans="1:1" x14ac:dyDescent="0.25">
      <c r="A225">
        <v>223</v>
      </c>
    </row>
    <row r="226" spans="1:1" x14ac:dyDescent="0.25">
      <c r="A226">
        <v>224</v>
      </c>
    </row>
    <row r="227" spans="1:1" x14ac:dyDescent="0.25">
      <c r="A227">
        <v>225</v>
      </c>
    </row>
    <row r="228" spans="1:1" x14ac:dyDescent="0.25">
      <c r="A228">
        <v>226</v>
      </c>
    </row>
    <row r="229" spans="1:1" x14ac:dyDescent="0.25">
      <c r="A229">
        <v>227</v>
      </c>
    </row>
    <row r="230" spans="1:1" x14ac:dyDescent="0.25">
      <c r="A230">
        <v>228</v>
      </c>
    </row>
    <row r="231" spans="1:1" x14ac:dyDescent="0.25">
      <c r="A231">
        <v>229</v>
      </c>
    </row>
    <row r="232" spans="1:1" x14ac:dyDescent="0.25">
      <c r="A232">
        <v>230</v>
      </c>
    </row>
    <row r="233" spans="1:1" x14ac:dyDescent="0.25">
      <c r="A233">
        <v>231</v>
      </c>
    </row>
    <row r="234" spans="1:1" x14ac:dyDescent="0.25">
      <c r="A234">
        <v>232</v>
      </c>
    </row>
    <row r="235" spans="1:1" x14ac:dyDescent="0.25">
      <c r="A235">
        <v>233</v>
      </c>
    </row>
    <row r="236" spans="1:1" x14ac:dyDescent="0.25">
      <c r="A236">
        <v>234</v>
      </c>
    </row>
    <row r="237" spans="1:1" x14ac:dyDescent="0.25">
      <c r="A237">
        <v>235</v>
      </c>
    </row>
    <row r="238" spans="1:1" x14ac:dyDescent="0.25">
      <c r="A238">
        <v>236</v>
      </c>
    </row>
    <row r="239" spans="1:1" x14ac:dyDescent="0.25">
      <c r="A239">
        <v>237</v>
      </c>
    </row>
    <row r="240" spans="1:1" x14ac:dyDescent="0.25">
      <c r="A240">
        <v>238</v>
      </c>
    </row>
    <row r="241" spans="1:1" x14ac:dyDescent="0.25">
      <c r="A241">
        <v>239</v>
      </c>
    </row>
    <row r="242" spans="1:1" x14ac:dyDescent="0.25">
      <c r="A242">
        <v>240</v>
      </c>
    </row>
    <row r="243" spans="1:1" x14ac:dyDescent="0.25">
      <c r="A243">
        <v>241</v>
      </c>
    </row>
    <row r="244" spans="1:1" x14ac:dyDescent="0.25">
      <c r="A244">
        <v>242</v>
      </c>
    </row>
    <row r="245" spans="1:1" x14ac:dyDescent="0.25">
      <c r="A245">
        <v>243</v>
      </c>
    </row>
    <row r="246" spans="1:1" x14ac:dyDescent="0.25">
      <c r="A246">
        <v>244</v>
      </c>
    </row>
    <row r="247" spans="1:1" x14ac:dyDescent="0.25">
      <c r="A247">
        <v>245</v>
      </c>
    </row>
    <row r="248" spans="1:1" x14ac:dyDescent="0.25">
      <c r="A248">
        <v>246</v>
      </c>
    </row>
    <row r="249" spans="1:1" x14ac:dyDescent="0.25">
      <c r="A249">
        <v>247</v>
      </c>
    </row>
    <row r="250" spans="1:1" x14ac:dyDescent="0.25">
      <c r="A250">
        <v>248</v>
      </c>
    </row>
    <row r="251" spans="1:1" x14ac:dyDescent="0.25">
      <c r="A251">
        <v>249</v>
      </c>
    </row>
    <row r="252" spans="1:1" x14ac:dyDescent="0.25">
      <c r="A252">
        <v>250</v>
      </c>
    </row>
    <row r="253" spans="1:1" x14ac:dyDescent="0.25">
      <c r="A253">
        <v>251</v>
      </c>
    </row>
    <row r="254" spans="1:1" x14ac:dyDescent="0.25">
      <c r="A254">
        <v>252</v>
      </c>
    </row>
    <row r="255" spans="1:1" x14ac:dyDescent="0.25">
      <c r="A255">
        <v>253</v>
      </c>
    </row>
    <row r="256" spans="1:1" x14ac:dyDescent="0.25">
      <c r="A256">
        <v>254</v>
      </c>
    </row>
    <row r="257" spans="1:1" x14ac:dyDescent="0.25">
      <c r="A257">
        <v>255</v>
      </c>
    </row>
    <row r="258" spans="1:1" x14ac:dyDescent="0.25">
      <c r="A258">
        <v>256</v>
      </c>
    </row>
    <row r="259" spans="1:1" x14ac:dyDescent="0.25">
      <c r="A259">
        <v>257</v>
      </c>
    </row>
    <row r="260" spans="1:1" x14ac:dyDescent="0.25">
      <c r="A260">
        <v>258</v>
      </c>
    </row>
    <row r="261" spans="1:1" x14ac:dyDescent="0.25">
      <c r="A261">
        <v>259</v>
      </c>
    </row>
    <row r="262" spans="1:1" x14ac:dyDescent="0.25">
      <c r="A262">
        <v>260</v>
      </c>
    </row>
    <row r="263" spans="1:1" x14ac:dyDescent="0.25">
      <c r="A263">
        <v>261</v>
      </c>
    </row>
    <row r="264" spans="1:1" x14ac:dyDescent="0.25">
      <c r="A264">
        <v>262</v>
      </c>
    </row>
    <row r="265" spans="1:1" x14ac:dyDescent="0.25">
      <c r="A265">
        <v>263</v>
      </c>
    </row>
    <row r="266" spans="1:1" x14ac:dyDescent="0.25">
      <c r="A266">
        <v>264</v>
      </c>
    </row>
    <row r="267" spans="1:1" x14ac:dyDescent="0.25">
      <c r="A267">
        <v>265</v>
      </c>
    </row>
    <row r="268" spans="1:1" x14ac:dyDescent="0.25">
      <c r="A268">
        <v>266</v>
      </c>
    </row>
    <row r="269" spans="1:1" x14ac:dyDescent="0.25">
      <c r="A269">
        <v>267</v>
      </c>
    </row>
    <row r="270" spans="1:1" x14ac:dyDescent="0.25">
      <c r="A270">
        <v>268</v>
      </c>
    </row>
    <row r="271" spans="1:1" x14ac:dyDescent="0.25">
      <c r="A271">
        <v>269</v>
      </c>
    </row>
    <row r="272" spans="1:1" x14ac:dyDescent="0.25">
      <c r="A272">
        <v>270</v>
      </c>
    </row>
    <row r="273" spans="1:1" x14ac:dyDescent="0.25">
      <c r="A273">
        <v>271</v>
      </c>
    </row>
    <row r="274" spans="1:1" x14ac:dyDescent="0.25">
      <c r="A274">
        <v>272</v>
      </c>
    </row>
    <row r="275" spans="1:1" x14ac:dyDescent="0.25">
      <c r="A275">
        <v>273</v>
      </c>
    </row>
    <row r="276" spans="1:1" x14ac:dyDescent="0.25">
      <c r="A276">
        <v>274</v>
      </c>
    </row>
    <row r="277" spans="1:1" x14ac:dyDescent="0.25">
      <c r="A277">
        <v>275</v>
      </c>
    </row>
    <row r="278" spans="1:1" x14ac:dyDescent="0.25">
      <c r="A278">
        <v>276</v>
      </c>
    </row>
    <row r="279" spans="1:1" x14ac:dyDescent="0.25">
      <c r="A279">
        <v>277</v>
      </c>
    </row>
    <row r="280" spans="1:1" x14ac:dyDescent="0.25">
      <c r="A280">
        <v>278</v>
      </c>
    </row>
    <row r="281" spans="1:1" x14ac:dyDescent="0.25">
      <c r="A281">
        <v>279</v>
      </c>
    </row>
    <row r="282" spans="1:1" x14ac:dyDescent="0.25">
      <c r="A282">
        <v>280</v>
      </c>
    </row>
    <row r="283" spans="1:1" x14ac:dyDescent="0.25">
      <c r="A283">
        <v>281</v>
      </c>
    </row>
    <row r="284" spans="1:1" x14ac:dyDescent="0.25">
      <c r="A284">
        <v>282</v>
      </c>
    </row>
    <row r="285" spans="1:1" x14ac:dyDescent="0.25">
      <c r="A285">
        <v>283</v>
      </c>
    </row>
    <row r="286" spans="1:1" x14ac:dyDescent="0.25">
      <c r="A286">
        <v>284</v>
      </c>
    </row>
    <row r="287" spans="1:1" x14ac:dyDescent="0.25">
      <c r="A287">
        <v>285</v>
      </c>
    </row>
    <row r="288" spans="1:1" x14ac:dyDescent="0.25">
      <c r="A288">
        <v>286</v>
      </c>
    </row>
    <row r="289" spans="1:1" x14ac:dyDescent="0.25">
      <c r="A289">
        <v>287</v>
      </c>
    </row>
    <row r="290" spans="1:1" x14ac:dyDescent="0.25">
      <c r="A290">
        <v>288</v>
      </c>
    </row>
    <row r="291" spans="1:1" x14ac:dyDescent="0.25">
      <c r="A291">
        <v>289</v>
      </c>
    </row>
    <row r="292" spans="1:1" x14ac:dyDescent="0.25">
      <c r="A292">
        <v>290</v>
      </c>
    </row>
    <row r="293" spans="1:1" x14ac:dyDescent="0.25">
      <c r="A293">
        <v>291</v>
      </c>
    </row>
    <row r="294" spans="1:1" x14ac:dyDescent="0.25">
      <c r="A294">
        <v>292</v>
      </c>
    </row>
    <row r="295" spans="1:1" x14ac:dyDescent="0.25">
      <c r="A295">
        <v>293</v>
      </c>
    </row>
    <row r="296" spans="1:1" x14ac:dyDescent="0.25">
      <c r="A296">
        <v>294</v>
      </c>
    </row>
    <row r="297" spans="1:1" x14ac:dyDescent="0.25">
      <c r="A297">
        <v>295</v>
      </c>
    </row>
    <row r="298" spans="1:1" x14ac:dyDescent="0.25">
      <c r="A298">
        <v>296</v>
      </c>
    </row>
    <row r="299" spans="1:1" x14ac:dyDescent="0.25">
      <c r="A299">
        <v>297</v>
      </c>
    </row>
    <row r="300" spans="1:1" x14ac:dyDescent="0.25">
      <c r="A300">
        <v>298</v>
      </c>
    </row>
    <row r="301" spans="1:1" x14ac:dyDescent="0.25">
      <c r="A301">
        <v>299</v>
      </c>
    </row>
    <row r="302" spans="1:1" x14ac:dyDescent="0.25">
      <c r="A302">
        <v>300</v>
      </c>
    </row>
    <row r="303" spans="1:1" x14ac:dyDescent="0.25">
      <c r="A303">
        <v>301</v>
      </c>
    </row>
    <row r="304" spans="1:1" x14ac:dyDescent="0.25">
      <c r="A304">
        <v>302</v>
      </c>
    </row>
    <row r="305" spans="1:1" x14ac:dyDescent="0.25">
      <c r="A305">
        <v>303</v>
      </c>
    </row>
    <row r="306" spans="1:1" x14ac:dyDescent="0.25">
      <c r="A306">
        <v>304</v>
      </c>
    </row>
    <row r="307" spans="1:1" x14ac:dyDescent="0.25">
      <c r="A307">
        <v>305</v>
      </c>
    </row>
    <row r="308" spans="1:1" x14ac:dyDescent="0.25">
      <c r="A308">
        <v>306</v>
      </c>
    </row>
    <row r="309" spans="1:1" x14ac:dyDescent="0.25">
      <c r="A309">
        <v>307</v>
      </c>
    </row>
    <row r="310" spans="1:1" x14ac:dyDescent="0.25">
      <c r="A310">
        <v>308</v>
      </c>
    </row>
    <row r="311" spans="1:1" x14ac:dyDescent="0.25">
      <c r="A311">
        <v>309</v>
      </c>
    </row>
    <row r="312" spans="1:1" x14ac:dyDescent="0.25">
      <c r="A312">
        <v>310</v>
      </c>
    </row>
    <row r="313" spans="1:1" x14ac:dyDescent="0.25">
      <c r="A313">
        <v>311</v>
      </c>
    </row>
    <row r="314" spans="1:1" x14ac:dyDescent="0.25">
      <c r="A314">
        <v>312</v>
      </c>
    </row>
    <row r="315" spans="1:1" x14ac:dyDescent="0.25">
      <c r="A315">
        <v>313</v>
      </c>
    </row>
    <row r="316" spans="1:1" x14ac:dyDescent="0.25">
      <c r="A316">
        <v>314</v>
      </c>
    </row>
    <row r="317" spans="1:1" x14ac:dyDescent="0.25">
      <c r="A317">
        <v>315</v>
      </c>
    </row>
    <row r="318" spans="1:1" x14ac:dyDescent="0.25">
      <c r="A318">
        <v>316</v>
      </c>
    </row>
    <row r="319" spans="1:1" x14ac:dyDescent="0.25">
      <c r="A319">
        <v>317</v>
      </c>
    </row>
    <row r="320" spans="1:1" x14ac:dyDescent="0.25">
      <c r="A320">
        <v>318</v>
      </c>
    </row>
    <row r="321" spans="1:1" x14ac:dyDescent="0.25">
      <c r="A321">
        <v>319</v>
      </c>
    </row>
    <row r="322" spans="1:1" x14ac:dyDescent="0.25">
      <c r="A322">
        <v>320</v>
      </c>
    </row>
    <row r="323" spans="1:1" x14ac:dyDescent="0.25">
      <c r="A323">
        <v>321</v>
      </c>
    </row>
    <row r="324" spans="1:1" x14ac:dyDescent="0.25">
      <c r="A324">
        <v>322</v>
      </c>
    </row>
    <row r="325" spans="1:1" x14ac:dyDescent="0.25">
      <c r="A325">
        <v>323</v>
      </c>
    </row>
    <row r="326" spans="1:1" x14ac:dyDescent="0.25">
      <c r="A326">
        <v>324</v>
      </c>
    </row>
    <row r="327" spans="1:1" x14ac:dyDescent="0.25">
      <c r="A327">
        <v>325</v>
      </c>
    </row>
    <row r="328" spans="1:1" x14ac:dyDescent="0.25">
      <c r="A328">
        <v>326</v>
      </c>
    </row>
    <row r="329" spans="1:1" x14ac:dyDescent="0.25">
      <c r="A329">
        <v>327</v>
      </c>
    </row>
    <row r="330" spans="1:1" x14ac:dyDescent="0.25">
      <c r="A330">
        <v>328</v>
      </c>
    </row>
    <row r="331" spans="1:1" x14ac:dyDescent="0.25">
      <c r="A331">
        <v>329</v>
      </c>
    </row>
    <row r="332" spans="1:1" x14ac:dyDescent="0.25">
      <c r="A332">
        <v>330</v>
      </c>
    </row>
    <row r="333" spans="1:1" x14ac:dyDescent="0.25">
      <c r="A333">
        <v>331</v>
      </c>
    </row>
    <row r="334" spans="1:1" x14ac:dyDescent="0.25">
      <c r="A334">
        <v>332</v>
      </c>
    </row>
    <row r="335" spans="1:1" x14ac:dyDescent="0.25">
      <c r="A335">
        <v>333</v>
      </c>
    </row>
    <row r="336" spans="1:1" x14ac:dyDescent="0.25">
      <c r="A336">
        <v>334</v>
      </c>
    </row>
    <row r="337" spans="1:1" x14ac:dyDescent="0.25">
      <c r="A337">
        <v>335</v>
      </c>
    </row>
    <row r="338" spans="1:1" x14ac:dyDescent="0.25">
      <c r="A338">
        <v>336</v>
      </c>
    </row>
    <row r="339" spans="1:1" x14ac:dyDescent="0.25">
      <c r="A339">
        <v>337</v>
      </c>
    </row>
    <row r="340" spans="1:1" x14ac:dyDescent="0.25">
      <c r="A340">
        <v>338</v>
      </c>
    </row>
    <row r="341" spans="1:1" x14ac:dyDescent="0.25">
      <c r="A341">
        <v>339</v>
      </c>
    </row>
    <row r="342" spans="1:1" x14ac:dyDescent="0.25">
      <c r="A342">
        <v>340</v>
      </c>
    </row>
    <row r="343" spans="1:1" x14ac:dyDescent="0.25">
      <c r="A343">
        <v>341</v>
      </c>
    </row>
    <row r="344" spans="1:1" x14ac:dyDescent="0.25">
      <c r="A344">
        <v>342</v>
      </c>
    </row>
    <row r="345" spans="1:1" x14ac:dyDescent="0.25">
      <c r="A345">
        <v>343</v>
      </c>
    </row>
    <row r="346" spans="1:1" x14ac:dyDescent="0.25">
      <c r="A346">
        <v>344</v>
      </c>
    </row>
    <row r="347" spans="1:1" x14ac:dyDescent="0.25">
      <c r="A347">
        <v>345</v>
      </c>
    </row>
    <row r="348" spans="1:1" x14ac:dyDescent="0.25">
      <c r="A348">
        <v>346</v>
      </c>
    </row>
    <row r="349" spans="1:1" x14ac:dyDescent="0.25">
      <c r="A349">
        <v>347</v>
      </c>
    </row>
    <row r="350" spans="1:1" x14ac:dyDescent="0.25">
      <c r="A350">
        <v>348</v>
      </c>
    </row>
    <row r="351" spans="1:1" x14ac:dyDescent="0.25">
      <c r="A351">
        <v>349</v>
      </c>
    </row>
    <row r="352" spans="1:1" x14ac:dyDescent="0.25">
      <c r="A352">
        <v>350</v>
      </c>
    </row>
    <row r="353" spans="1:1" x14ac:dyDescent="0.25">
      <c r="A353">
        <v>351</v>
      </c>
    </row>
    <row r="354" spans="1:1" x14ac:dyDescent="0.25">
      <c r="A354">
        <v>352</v>
      </c>
    </row>
    <row r="355" spans="1:1" x14ac:dyDescent="0.25">
      <c r="A355">
        <v>353</v>
      </c>
    </row>
    <row r="356" spans="1:1" x14ac:dyDescent="0.25">
      <c r="A356">
        <v>354</v>
      </c>
    </row>
    <row r="357" spans="1:1" x14ac:dyDescent="0.25">
      <c r="A357">
        <v>355</v>
      </c>
    </row>
    <row r="358" spans="1:1" x14ac:dyDescent="0.25">
      <c r="A358">
        <v>356</v>
      </c>
    </row>
    <row r="359" spans="1:1" x14ac:dyDescent="0.25">
      <c r="A359">
        <v>357</v>
      </c>
    </row>
    <row r="360" spans="1:1" x14ac:dyDescent="0.25">
      <c r="A360">
        <v>358</v>
      </c>
    </row>
    <row r="361" spans="1:1" x14ac:dyDescent="0.25">
      <c r="A361">
        <v>359</v>
      </c>
    </row>
    <row r="362" spans="1:1" x14ac:dyDescent="0.25">
      <c r="A362">
        <v>360</v>
      </c>
    </row>
  </sheetData>
  <mergeCells count="5">
    <mergeCell ref="D6:G6"/>
    <mergeCell ref="H6:H7"/>
    <mergeCell ref="J1:L1"/>
    <mergeCell ref="U1:V1"/>
    <mergeCell ref="S42:Z4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topLeftCell="A22" workbookViewId="0">
      <selection activeCell="B27" sqref="B27"/>
    </sheetView>
  </sheetViews>
  <sheetFormatPr baseColWidth="10" defaultRowHeight="15" x14ac:dyDescent="0.25"/>
  <cols>
    <col min="1" max="1" width="10.7109375" style="228" customWidth="1"/>
    <col min="2" max="2" width="76.85546875" style="224" customWidth="1"/>
  </cols>
  <sheetData>
    <row r="1" spans="1:2" ht="45.75" thickBot="1" x14ac:dyDescent="0.3">
      <c r="A1" s="225" t="s">
        <v>347</v>
      </c>
      <c r="B1" s="85" t="s">
        <v>346</v>
      </c>
    </row>
    <row r="2" spans="1:2" ht="15.75" thickBot="1" x14ac:dyDescent="0.3">
      <c r="A2" s="226">
        <v>0</v>
      </c>
      <c r="B2" s="222" t="s">
        <v>348</v>
      </c>
    </row>
    <row r="3" spans="1:2" ht="45" x14ac:dyDescent="0.25">
      <c r="A3" s="227">
        <v>1</v>
      </c>
      <c r="B3" s="223" t="s">
        <v>224</v>
      </c>
    </row>
    <row r="4" spans="1:2" x14ac:dyDescent="0.25">
      <c r="A4" s="227">
        <v>2</v>
      </c>
      <c r="B4" s="223" t="s">
        <v>345</v>
      </c>
    </row>
    <row r="5" spans="1:2" ht="30" x14ac:dyDescent="0.25">
      <c r="A5" s="227">
        <v>3</v>
      </c>
      <c r="B5" s="223" t="s">
        <v>225</v>
      </c>
    </row>
    <row r="6" spans="1:2" ht="30" x14ac:dyDescent="0.25">
      <c r="A6" s="227">
        <v>4</v>
      </c>
      <c r="B6" s="223" t="s">
        <v>68</v>
      </c>
    </row>
    <row r="7" spans="1:2" ht="30" x14ac:dyDescent="0.25">
      <c r="A7" s="227">
        <v>5</v>
      </c>
      <c r="B7" s="223" t="s">
        <v>69</v>
      </c>
    </row>
    <row r="8" spans="1:2" ht="45" x14ac:dyDescent="0.25">
      <c r="A8" s="227">
        <v>6</v>
      </c>
      <c r="B8" s="223" t="s">
        <v>226</v>
      </c>
    </row>
    <row r="9" spans="1:2" ht="30" x14ac:dyDescent="0.25">
      <c r="A9" s="227">
        <v>7</v>
      </c>
      <c r="B9" s="223" t="s">
        <v>70</v>
      </c>
    </row>
    <row r="10" spans="1:2" x14ac:dyDescent="0.25">
      <c r="A10" s="227">
        <v>8</v>
      </c>
      <c r="B10" s="223" t="s">
        <v>71</v>
      </c>
    </row>
    <row r="11" spans="1:2" ht="30" x14ac:dyDescent="0.25">
      <c r="A11" s="227">
        <v>9</v>
      </c>
      <c r="B11" s="223" t="s">
        <v>72</v>
      </c>
    </row>
    <row r="12" spans="1:2" ht="195" x14ac:dyDescent="0.25">
      <c r="A12" s="227">
        <v>10</v>
      </c>
      <c r="B12" s="223" t="s">
        <v>227</v>
      </c>
    </row>
    <row r="13" spans="1:2" ht="30.75" thickBot="1" x14ac:dyDescent="0.3">
      <c r="A13" s="227">
        <v>11</v>
      </c>
      <c r="B13" s="223" t="s">
        <v>228</v>
      </c>
    </row>
    <row r="14" spans="1:2" ht="45.75" thickBot="1" x14ac:dyDescent="0.3">
      <c r="A14" s="225" t="s">
        <v>347</v>
      </c>
      <c r="B14" s="85" t="s">
        <v>346</v>
      </c>
    </row>
    <row r="15" spans="1:2" ht="105" x14ac:dyDescent="0.25">
      <c r="A15" s="227">
        <v>12</v>
      </c>
      <c r="B15" s="223" t="s">
        <v>229</v>
      </c>
    </row>
    <row r="16" spans="1:2" ht="60" x14ac:dyDescent="0.25">
      <c r="A16" s="227">
        <v>13</v>
      </c>
      <c r="B16" s="223" t="s">
        <v>230</v>
      </c>
    </row>
    <row r="17" spans="1:2" ht="45" x14ac:dyDescent="0.25">
      <c r="A17" s="227">
        <v>14</v>
      </c>
      <c r="B17" s="223" t="s">
        <v>231</v>
      </c>
    </row>
    <row r="18" spans="1:2" ht="75" x14ac:dyDescent="0.25">
      <c r="A18" s="227">
        <v>15</v>
      </c>
      <c r="B18" s="223" t="s">
        <v>232</v>
      </c>
    </row>
    <row r="19" spans="1:2" ht="75" x14ac:dyDescent="0.25">
      <c r="A19" s="227">
        <v>16</v>
      </c>
      <c r="B19" s="223" t="s">
        <v>233</v>
      </c>
    </row>
    <row r="20" spans="1:2" ht="30" x14ac:dyDescent="0.25">
      <c r="A20" s="227">
        <v>17</v>
      </c>
      <c r="B20" s="223" t="s">
        <v>73</v>
      </c>
    </row>
    <row r="21" spans="1:2" ht="60" x14ac:dyDescent="0.25">
      <c r="A21" s="227">
        <v>18</v>
      </c>
      <c r="B21" s="223" t="s">
        <v>74</v>
      </c>
    </row>
    <row r="22" spans="1:2" ht="45" x14ac:dyDescent="0.25">
      <c r="A22" s="227">
        <v>19</v>
      </c>
      <c r="B22" s="223" t="s">
        <v>76</v>
      </c>
    </row>
    <row r="23" spans="1:2" ht="45" x14ac:dyDescent="0.25">
      <c r="A23" s="227">
        <v>20</v>
      </c>
      <c r="B23" s="223" t="s">
        <v>234</v>
      </c>
    </row>
    <row r="24" spans="1:2" ht="135" x14ac:dyDescent="0.25">
      <c r="A24" s="227">
        <v>21</v>
      </c>
      <c r="B24" s="223" t="s">
        <v>235</v>
      </c>
    </row>
    <row r="25" spans="1:2" ht="60" x14ac:dyDescent="0.25">
      <c r="A25" s="227">
        <v>22</v>
      </c>
      <c r="B25" s="223" t="s">
        <v>75</v>
      </c>
    </row>
  </sheetData>
  <sheetProtection algorithmName="SHA-512" hashValue="+0Rl8+0JjD+mwYjzMdbX9XuKwyf7/R4nvPw+6bVv160/a5W0dWuCguzxx4kt7bd6C5KDYSJfI+Pp1zfr/vEnMw==" saltValue="iJPTtNF6kodN0DmLkmxQ0g=="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B8:I58"/>
  <sheetViews>
    <sheetView showGridLines="0" view="pageBreakPreview" topLeftCell="A27" zoomScale="58" zoomScaleNormal="90" zoomScaleSheetLayoutView="100" workbookViewId="0">
      <selection activeCell="D59" sqref="D59"/>
    </sheetView>
  </sheetViews>
  <sheetFormatPr baseColWidth="10" defaultColWidth="11.42578125" defaultRowHeight="16.5" x14ac:dyDescent="0.3"/>
  <cols>
    <col min="1" max="1" width="3.28515625" style="189" customWidth="1"/>
    <col min="2" max="2" width="4" style="300" customWidth="1"/>
    <col min="3" max="3" width="73.42578125" style="189" customWidth="1"/>
    <col min="4" max="4" width="5.7109375" style="189" customWidth="1"/>
    <col min="5" max="5" width="5.42578125" style="189" customWidth="1"/>
    <col min="6" max="6" width="4.140625" style="189" customWidth="1"/>
    <col min="7" max="7" width="5.140625" style="189" customWidth="1"/>
    <col min="8" max="8" width="65.7109375" style="189" customWidth="1"/>
    <col min="9" max="9" width="3.7109375" style="300" customWidth="1"/>
    <col min="10" max="16384" width="11.42578125" style="189"/>
  </cols>
  <sheetData>
    <row r="8" spans="2:9" ht="17.25" thickBot="1" x14ac:dyDescent="0.35">
      <c r="C8" s="300"/>
      <c r="D8" s="300"/>
      <c r="E8" s="300"/>
      <c r="F8" s="300"/>
      <c r="G8" s="300"/>
      <c r="H8" s="300"/>
    </row>
    <row r="9" spans="2:9" ht="17.25" thickBot="1" x14ac:dyDescent="0.35">
      <c r="B9" s="301"/>
      <c r="C9" s="302"/>
      <c r="D9" s="302"/>
      <c r="E9" s="302"/>
      <c r="F9" s="302"/>
      <c r="G9" s="302"/>
      <c r="H9" s="302"/>
      <c r="I9" s="303"/>
    </row>
    <row r="10" spans="2:9" ht="21" thickBot="1" x14ac:dyDescent="0.35">
      <c r="B10" s="304"/>
      <c r="C10" s="399" t="s">
        <v>314</v>
      </c>
      <c r="D10" s="400"/>
      <c r="E10" s="400"/>
      <c r="F10" s="400"/>
      <c r="G10" s="400"/>
      <c r="H10" s="401"/>
      <c r="I10" s="305"/>
    </row>
    <row r="11" spans="2:9" x14ac:dyDescent="0.3">
      <c r="B11" s="304"/>
      <c r="C11" s="306"/>
      <c r="D11" s="306"/>
      <c r="E11" s="306"/>
      <c r="F11" s="306"/>
      <c r="G11" s="306"/>
      <c r="H11" s="306"/>
      <c r="I11" s="305"/>
    </row>
    <row r="12" spans="2:9" ht="59.25" customHeight="1" x14ac:dyDescent="0.3">
      <c r="B12" s="304"/>
      <c r="C12" s="402" t="s">
        <v>315</v>
      </c>
      <c r="D12" s="403"/>
      <c r="E12" s="403"/>
      <c r="F12" s="403"/>
      <c r="G12" s="403"/>
      <c r="H12" s="403"/>
      <c r="I12" s="305"/>
    </row>
    <row r="13" spans="2:9" x14ac:dyDescent="0.3">
      <c r="B13" s="304"/>
      <c r="C13" s="306"/>
      <c r="D13" s="306"/>
      <c r="E13" s="306"/>
      <c r="F13" s="306"/>
      <c r="G13" s="306"/>
      <c r="H13" s="306"/>
      <c r="I13" s="305"/>
    </row>
    <row r="14" spans="2:9" ht="15" customHeight="1" x14ac:dyDescent="0.3">
      <c r="B14" s="304"/>
      <c r="C14" s="404" t="s">
        <v>242</v>
      </c>
      <c r="D14" s="404"/>
      <c r="E14" s="404"/>
      <c r="F14" s="404"/>
      <c r="G14" s="404"/>
      <c r="H14" s="404"/>
      <c r="I14" s="305"/>
    </row>
    <row r="15" spans="2:9" x14ac:dyDescent="0.3">
      <c r="B15" s="304"/>
      <c r="C15" s="306"/>
      <c r="D15" s="306"/>
      <c r="E15" s="306"/>
      <c r="F15" s="306"/>
      <c r="G15" s="306"/>
      <c r="H15" s="306"/>
      <c r="I15" s="305"/>
    </row>
    <row r="16" spans="2:9" ht="33" x14ac:dyDescent="0.3">
      <c r="B16" s="307" t="s">
        <v>141</v>
      </c>
      <c r="C16" s="308" t="s">
        <v>316</v>
      </c>
      <c r="D16" s="306"/>
      <c r="E16" s="306"/>
      <c r="F16" s="306"/>
      <c r="G16" s="306"/>
      <c r="H16" s="309"/>
      <c r="I16" s="305"/>
    </row>
    <row r="17" spans="2:9" ht="17.25" thickBot="1" x14ac:dyDescent="0.35">
      <c r="B17" s="304"/>
      <c r="C17" s="306"/>
      <c r="D17" s="306"/>
      <c r="E17" s="306"/>
      <c r="F17" s="306"/>
      <c r="G17" s="306"/>
      <c r="H17" s="310"/>
      <c r="I17" s="305"/>
    </row>
    <row r="18" spans="2:9" ht="17.25" thickBot="1" x14ac:dyDescent="0.35">
      <c r="B18" s="304"/>
      <c r="C18" s="188" t="s">
        <v>124</v>
      </c>
      <c r="D18" s="306" t="s">
        <v>20</v>
      </c>
      <c r="E18" s="306"/>
      <c r="F18" s="306"/>
      <c r="G18" s="306"/>
      <c r="H18" s="310"/>
      <c r="I18" s="305"/>
    </row>
    <row r="19" spans="2:9" ht="17.25" thickBot="1" x14ac:dyDescent="0.35">
      <c r="B19" s="304"/>
      <c r="C19" s="306"/>
      <c r="D19" s="306"/>
      <c r="E19" s="306"/>
      <c r="F19" s="306"/>
      <c r="G19" s="306"/>
      <c r="H19" s="310"/>
      <c r="I19" s="305"/>
    </row>
    <row r="20" spans="2:9" ht="18.75" x14ac:dyDescent="0.3">
      <c r="B20" s="301"/>
      <c r="C20" s="406" t="s">
        <v>317</v>
      </c>
      <c r="D20" s="406"/>
      <c r="E20" s="406"/>
      <c r="F20" s="406"/>
      <c r="G20" s="406"/>
      <c r="H20" s="406"/>
      <c r="I20" s="303"/>
    </row>
    <row r="21" spans="2:9" ht="18.75" x14ac:dyDescent="0.3">
      <c r="B21" s="304"/>
      <c r="C21" s="409" t="s">
        <v>117</v>
      </c>
      <c r="D21" s="409"/>
      <c r="E21" s="409"/>
      <c r="F21" s="409"/>
      <c r="G21" s="409"/>
      <c r="H21" s="409"/>
      <c r="I21" s="305"/>
    </row>
    <row r="22" spans="2:9" x14ac:dyDescent="0.3">
      <c r="B22" s="304"/>
      <c r="C22" s="310"/>
      <c r="D22" s="310"/>
      <c r="E22" s="310"/>
      <c r="F22" s="310"/>
      <c r="G22" s="310"/>
      <c r="H22" s="310"/>
      <c r="I22" s="305"/>
    </row>
    <row r="23" spans="2:9" x14ac:dyDescent="0.3">
      <c r="B23" s="304"/>
      <c r="C23" s="311" t="s">
        <v>318</v>
      </c>
      <c r="D23" s="310"/>
      <c r="E23" s="310"/>
      <c r="F23" s="310"/>
      <c r="G23" s="310"/>
      <c r="H23" s="311" t="s">
        <v>320</v>
      </c>
      <c r="I23" s="305"/>
    </row>
    <row r="24" spans="2:9" ht="17.25" thickBot="1" x14ac:dyDescent="0.35">
      <c r="B24" s="304"/>
      <c r="C24" s="306"/>
      <c r="D24" s="310"/>
      <c r="E24" s="310"/>
      <c r="F24" s="310"/>
      <c r="G24" s="310"/>
      <c r="H24" s="306"/>
      <c r="I24" s="305"/>
    </row>
    <row r="25" spans="2:9" ht="17.25" thickBot="1" x14ac:dyDescent="0.35">
      <c r="B25" s="304"/>
      <c r="C25" s="312">
        <f>+IF(C18='DATOS INCUM'!C9,'DATOS INCUM'!D9,IF(C18='DATOS INCUM'!C10,'DATOS INCUM'!D10,0))</f>
        <v>6</v>
      </c>
      <c r="D25" s="310"/>
      <c r="E25" s="310"/>
      <c r="F25" s="310"/>
      <c r="G25" s="313"/>
      <c r="H25" s="312">
        <f>+IF(C18='DATOS INCUM'!C9,'DATOS INCUM'!E9,IF(C18='DATOS INCUM'!C10,'DATOS INCUM'!E10,0))</f>
        <v>20</v>
      </c>
      <c r="I25" s="305"/>
    </row>
    <row r="26" spans="2:9" x14ac:dyDescent="0.3">
      <c r="B26" s="304"/>
      <c r="C26" s="314"/>
      <c r="D26" s="310"/>
      <c r="E26" s="310"/>
      <c r="F26" s="310"/>
      <c r="G26" s="313"/>
      <c r="H26" s="310"/>
      <c r="I26" s="305"/>
    </row>
    <row r="27" spans="2:9" x14ac:dyDescent="0.3">
      <c r="B27" s="304"/>
      <c r="C27" s="311" t="s">
        <v>319</v>
      </c>
      <c r="D27" s="310"/>
      <c r="E27" s="310"/>
      <c r="F27" s="310"/>
      <c r="G27" s="310"/>
      <c r="H27" s="311" t="s">
        <v>321</v>
      </c>
      <c r="I27" s="305"/>
    </row>
    <row r="28" spans="2:9" ht="17.25" thickBot="1" x14ac:dyDescent="0.35">
      <c r="B28" s="304"/>
      <c r="C28" s="306"/>
      <c r="D28" s="310"/>
      <c r="E28" s="310"/>
      <c r="F28" s="310"/>
      <c r="G28" s="310"/>
      <c r="H28" s="306"/>
      <c r="I28" s="305"/>
    </row>
    <row r="29" spans="2:9" ht="18.75" thickBot="1" x14ac:dyDescent="0.35">
      <c r="B29" s="304"/>
      <c r="C29" s="315">
        <f>+C25*'DATOS INCUM'!B4</f>
        <v>4687452</v>
      </c>
      <c r="D29" s="310"/>
      <c r="E29" s="310"/>
      <c r="F29" s="310"/>
      <c r="G29" s="313"/>
      <c r="H29" s="315">
        <f>+H25*'DATOS INCUM'!B4</f>
        <v>15624840</v>
      </c>
      <c r="I29" s="305"/>
    </row>
    <row r="30" spans="2:9" ht="17.25" thickBot="1" x14ac:dyDescent="0.35">
      <c r="B30" s="325"/>
      <c r="C30" s="316"/>
      <c r="D30" s="316"/>
      <c r="E30" s="316"/>
      <c r="F30" s="316"/>
      <c r="G30" s="316"/>
      <c r="H30" s="316"/>
      <c r="I30" s="324"/>
    </row>
    <row r="31" spans="2:9" x14ac:dyDescent="0.3">
      <c r="B31" s="304"/>
      <c r="C31" s="310"/>
      <c r="D31" s="310"/>
      <c r="E31" s="310"/>
      <c r="F31" s="310"/>
      <c r="G31" s="310"/>
      <c r="H31" s="310"/>
      <c r="I31" s="305"/>
    </row>
    <row r="32" spans="2:9" ht="35.25" customHeight="1" x14ac:dyDescent="0.3">
      <c r="B32" s="304"/>
      <c r="C32" s="407" t="s">
        <v>322</v>
      </c>
      <c r="D32" s="407"/>
      <c r="E32" s="407"/>
      <c r="F32" s="407"/>
      <c r="G32" s="407"/>
      <c r="H32" s="407"/>
      <c r="I32" s="305"/>
    </row>
    <row r="33" spans="2:9" ht="18.75" x14ac:dyDescent="0.3">
      <c r="B33" s="304"/>
      <c r="C33" s="410" t="s">
        <v>121</v>
      </c>
      <c r="D33" s="410"/>
      <c r="E33" s="410"/>
      <c r="F33" s="410"/>
      <c r="G33" s="410"/>
      <c r="H33" s="410"/>
      <c r="I33" s="305"/>
    </row>
    <row r="34" spans="2:9" x14ac:dyDescent="0.3">
      <c r="B34" s="304"/>
      <c r="C34" s="310"/>
      <c r="D34" s="310"/>
      <c r="E34" s="310"/>
      <c r="F34" s="310"/>
      <c r="G34" s="310"/>
      <c r="H34" s="310"/>
      <c r="I34" s="305"/>
    </row>
    <row r="35" spans="2:9" x14ac:dyDescent="0.3">
      <c r="B35" s="304"/>
      <c r="C35" s="317" t="s">
        <v>318</v>
      </c>
      <c r="D35" s="310"/>
      <c r="E35" s="310"/>
      <c r="F35" s="310"/>
      <c r="G35" s="310"/>
      <c r="H35" s="317" t="s">
        <v>320</v>
      </c>
      <c r="I35" s="305"/>
    </row>
    <row r="36" spans="2:9" ht="17.25" thickBot="1" x14ac:dyDescent="0.35">
      <c r="B36" s="304"/>
      <c r="C36" s="306"/>
      <c r="D36" s="310"/>
      <c r="E36" s="310"/>
      <c r="F36" s="310"/>
      <c r="G36" s="310"/>
      <c r="H36" s="306"/>
      <c r="I36" s="305"/>
    </row>
    <row r="37" spans="2:9" ht="17.25" thickBot="1" x14ac:dyDescent="0.35">
      <c r="B37" s="304"/>
      <c r="C37" s="312">
        <f>+IF(C18='DATOS INCUM'!C9,'DATOS INCUM'!D16,IF(C18='DATOS INCUM'!C10,'DATOS INCUM'!D17,0))</f>
        <v>20</v>
      </c>
      <c r="D37" s="310"/>
      <c r="E37" s="310"/>
      <c r="F37" s="310"/>
      <c r="G37" s="313"/>
      <c r="H37" s="318">
        <f>+IF(C18='DATOS INCUM'!C9,'DATOS INCUM'!E16,IF(C18='DATOS INCUM'!C10,'DATOS INCUM'!E17,0))</f>
        <v>24</v>
      </c>
      <c r="I37" s="305"/>
    </row>
    <row r="38" spans="2:9" x14ac:dyDescent="0.3">
      <c r="B38" s="304"/>
      <c r="C38" s="310"/>
      <c r="D38" s="310"/>
      <c r="E38" s="310"/>
      <c r="F38" s="310"/>
      <c r="G38" s="313"/>
      <c r="H38" s="310"/>
      <c r="I38" s="305"/>
    </row>
    <row r="39" spans="2:9" x14ac:dyDescent="0.3">
      <c r="B39" s="304"/>
      <c r="C39" s="317" t="s">
        <v>319</v>
      </c>
      <c r="D39" s="310"/>
      <c r="E39" s="310"/>
      <c r="F39" s="310"/>
      <c r="G39" s="310"/>
      <c r="H39" s="317" t="s">
        <v>321</v>
      </c>
      <c r="I39" s="305"/>
    </row>
    <row r="40" spans="2:9" ht="17.25" thickBot="1" x14ac:dyDescent="0.35">
      <c r="B40" s="304"/>
      <c r="C40" s="306"/>
      <c r="D40" s="310"/>
      <c r="E40" s="310"/>
      <c r="F40" s="310"/>
      <c r="G40" s="310"/>
      <c r="H40" s="306"/>
      <c r="I40" s="305"/>
    </row>
    <row r="41" spans="2:9" ht="18.75" thickBot="1" x14ac:dyDescent="0.35">
      <c r="B41" s="304"/>
      <c r="C41" s="315">
        <f>+C37*'DATOS INCUM'!B4</f>
        <v>15624840</v>
      </c>
      <c r="D41" s="310"/>
      <c r="E41" s="310"/>
      <c r="F41" s="310"/>
      <c r="G41" s="313"/>
      <c r="H41" s="319">
        <f>+H37*'DATOS INCUM'!B4</f>
        <v>18749808</v>
      </c>
      <c r="I41" s="305"/>
    </row>
    <row r="42" spans="2:9" x14ac:dyDescent="0.3">
      <c r="B42" s="304"/>
      <c r="C42" s="320"/>
      <c r="D42" s="310"/>
      <c r="E42" s="321"/>
      <c r="F42" s="321"/>
      <c r="G42" s="310"/>
      <c r="H42" s="309"/>
      <c r="I42" s="305"/>
    </row>
    <row r="43" spans="2:9" ht="17.25" thickBot="1" x14ac:dyDescent="0.35">
      <c r="B43" s="304"/>
      <c r="C43" s="322"/>
      <c r="D43" s="310"/>
      <c r="E43" s="321"/>
      <c r="F43" s="321"/>
      <c r="G43" s="310"/>
      <c r="H43" s="310"/>
      <c r="I43" s="305"/>
    </row>
    <row r="44" spans="2:9" ht="39" customHeight="1" x14ac:dyDescent="0.3">
      <c r="B44" s="301"/>
      <c r="C44" s="408" t="s">
        <v>323</v>
      </c>
      <c r="D44" s="408"/>
      <c r="E44" s="408"/>
      <c r="F44" s="408"/>
      <c r="G44" s="408"/>
      <c r="H44" s="408"/>
      <c r="I44" s="303"/>
    </row>
    <row r="45" spans="2:9" ht="18.75" x14ac:dyDescent="0.3">
      <c r="B45" s="304"/>
      <c r="C45" s="405" t="s">
        <v>123</v>
      </c>
      <c r="D45" s="405"/>
      <c r="E45" s="405"/>
      <c r="F45" s="405"/>
      <c r="G45" s="405"/>
      <c r="H45" s="405"/>
      <c r="I45" s="305"/>
    </row>
    <row r="46" spans="2:9" x14ac:dyDescent="0.3">
      <c r="B46" s="304"/>
      <c r="C46" s="310"/>
      <c r="D46" s="310"/>
      <c r="E46" s="310"/>
      <c r="F46" s="310"/>
      <c r="G46" s="310"/>
      <c r="H46" s="310"/>
      <c r="I46" s="305"/>
    </row>
    <row r="47" spans="2:9" x14ac:dyDescent="0.3">
      <c r="B47" s="304"/>
      <c r="C47" s="323" t="s">
        <v>318</v>
      </c>
      <c r="D47" s="310"/>
      <c r="E47" s="310"/>
      <c r="F47" s="310"/>
      <c r="G47" s="310"/>
      <c r="H47" s="323" t="s">
        <v>320</v>
      </c>
      <c r="I47" s="305"/>
    </row>
    <row r="48" spans="2:9" ht="17.25" thickBot="1" x14ac:dyDescent="0.35">
      <c r="B48" s="304"/>
      <c r="C48" s="306"/>
      <c r="D48" s="310"/>
      <c r="E48" s="310"/>
      <c r="F48" s="310"/>
      <c r="G48" s="310"/>
      <c r="H48" s="306"/>
      <c r="I48" s="305"/>
    </row>
    <row r="49" spans="2:9" ht="17.25" thickBot="1" x14ac:dyDescent="0.35">
      <c r="B49" s="304"/>
      <c r="C49" s="312">
        <f>+IF(C18='DATOS INCUM'!C9,'DATOS INCUM'!D22,IF(C18='DATOS INCUM'!C10,'DATOS INCUM'!D23,0))</f>
        <v>21</v>
      </c>
      <c r="D49" s="310"/>
      <c r="E49" s="310"/>
      <c r="F49" s="310"/>
      <c r="G49" s="313"/>
      <c r="H49" s="312">
        <f>+IF(C18='DATOS INCUM'!C9,'DATOS INCUM'!E22,IF(C18='DATOS INCUM'!C10,'DATOS INCUM'!E23,0))</f>
        <v>50</v>
      </c>
      <c r="I49" s="305"/>
    </row>
    <row r="50" spans="2:9" x14ac:dyDescent="0.3">
      <c r="B50" s="304"/>
      <c r="C50" s="310"/>
      <c r="D50" s="310"/>
      <c r="E50" s="310"/>
      <c r="F50" s="310"/>
      <c r="G50" s="313"/>
      <c r="H50" s="310"/>
      <c r="I50" s="305"/>
    </row>
    <row r="51" spans="2:9" x14ac:dyDescent="0.3">
      <c r="B51" s="304"/>
      <c r="C51" s="323" t="s">
        <v>319</v>
      </c>
      <c r="D51" s="310"/>
      <c r="E51" s="310"/>
      <c r="F51" s="310"/>
      <c r="G51" s="310"/>
      <c r="H51" s="323" t="s">
        <v>321</v>
      </c>
      <c r="I51" s="305"/>
    </row>
    <row r="52" spans="2:9" ht="17.25" thickBot="1" x14ac:dyDescent="0.35">
      <c r="B52" s="304"/>
      <c r="C52" s="306"/>
      <c r="D52" s="310"/>
      <c r="E52" s="310"/>
      <c r="F52" s="310"/>
      <c r="G52" s="310"/>
      <c r="H52" s="306"/>
      <c r="I52" s="305"/>
    </row>
    <row r="53" spans="2:9" ht="18.75" thickBot="1" x14ac:dyDescent="0.35">
      <c r="B53" s="304"/>
      <c r="C53" s="315">
        <f>+C49*'DATOS INCUM'!B4</f>
        <v>16406082</v>
      </c>
      <c r="D53" s="310"/>
      <c r="E53" s="310"/>
      <c r="F53" s="310"/>
      <c r="G53" s="313"/>
      <c r="H53" s="315">
        <f>+H49*'DATOS INCUM'!B4</f>
        <v>39062100</v>
      </c>
      <c r="I53" s="305"/>
    </row>
    <row r="54" spans="2:9" ht="17.25" thickBot="1" x14ac:dyDescent="0.35">
      <c r="B54" s="325"/>
      <c r="C54" s="316"/>
      <c r="D54" s="316"/>
      <c r="E54" s="316"/>
      <c r="F54" s="316"/>
      <c r="G54" s="316"/>
      <c r="H54" s="316"/>
      <c r="I54" s="324"/>
    </row>
    <row r="55" spans="2:9" x14ac:dyDescent="0.3">
      <c r="C55" s="190"/>
      <c r="D55" s="190"/>
      <c r="E55" s="190"/>
      <c r="F55" s="190"/>
      <c r="G55" s="190"/>
      <c r="H55" s="190"/>
    </row>
    <row r="56" spans="2:9" x14ac:dyDescent="0.3">
      <c r="C56" s="351" t="s">
        <v>362</v>
      </c>
      <c r="D56" s="190"/>
      <c r="E56" s="190"/>
      <c r="F56" s="190"/>
      <c r="G56" s="190"/>
      <c r="H56" s="190"/>
    </row>
    <row r="57" spans="2:9" x14ac:dyDescent="0.3">
      <c r="C57" s="351" t="s">
        <v>363</v>
      </c>
      <c r="D57" s="190"/>
      <c r="E57" s="190"/>
      <c r="F57" s="190"/>
      <c r="G57" s="190"/>
      <c r="H57" s="190"/>
    </row>
    <row r="58" spans="2:9" x14ac:dyDescent="0.3">
      <c r="C58" s="340"/>
    </row>
  </sheetData>
  <sheetProtection algorithmName="SHA-512" hashValue="qg3peuw+iL97wj3Ql4WGKe3ZnLhljX2XTkof+ZKIhfgwg80Q4aPGA9ZFQ42LvmHZrrXFvamMcZ4ywGFPtU0jRA==" saltValue="IC7zzxLm4BEdCi37f6sEQA==" spinCount="100000" sheet="1" objects="1" scenarios="1"/>
  <mergeCells count="9">
    <mergeCell ref="C10:H10"/>
    <mergeCell ref="C12:H12"/>
    <mergeCell ref="C14:H14"/>
    <mergeCell ref="C45:H45"/>
    <mergeCell ref="C20:H20"/>
    <mergeCell ref="C32:H32"/>
    <mergeCell ref="C44:H44"/>
    <mergeCell ref="C21:H21"/>
    <mergeCell ref="C33:H33"/>
  </mergeCells>
  <pageMargins left="0.7" right="0.7" top="0.75" bottom="0.75" header="0.3" footer="0.3"/>
  <pageSetup paperSize="9" scale="51" orientation="portrait" r:id="rId1"/>
  <ignoredErrors>
    <ignoredError sqref="C25 C29 H25 H29 C37 C41 H37 H41 C49 C53 H49 H53" unlockedFormula="1"/>
    <ignoredError sqref="B16" numberStoredAsText="1"/>
  </ignoredErrors>
  <drawing r:id="rId2"/>
  <extLst>
    <ext xmlns:x14="http://schemas.microsoft.com/office/spreadsheetml/2009/9/main" uri="{CCE6A557-97BC-4b89-ADB6-D9C93CAAB3DF}">
      <x14:dataValidations xmlns:xm="http://schemas.microsoft.com/office/excel/2006/main" count="2">
        <x14:dataValidation type="list" showInputMessage="1" showErrorMessage="1">
          <x14:formula1>
            <xm:f>'DATOS PESV'!$A$2:$A$363</xm:f>
          </x14:formula1>
          <xm:sqref>H18</xm:sqref>
        </x14:dataValidation>
        <x14:dataValidation type="list" showInputMessage="1" showErrorMessage="1">
          <x14:formula1>
            <xm:f>'DATOS INCUM'!$C$9:$C$11</xm:f>
          </x14:formula1>
          <xm:sqref>C18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3"/>
  <sheetViews>
    <sheetView workbookViewId="0">
      <selection activeCell="A4" sqref="A4:B4"/>
    </sheetView>
  </sheetViews>
  <sheetFormatPr baseColWidth="10" defaultRowHeight="15" x14ac:dyDescent="0.25"/>
  <cols>
    <col min="1" max="1" width="24.85546875" bestFit="1" customWidth="1"/>
    <col min="2" max="2" width="23.42578125" bestFit="1" customWidth="1"/>
    <col min="3" max="3" width="19" bestFit="1" customWidth="1"/>
    <col min="4" max="4" width="13.85546875" customWidth="1"/>
    <col min="5" max="5" width="11.42578125" customWidth="1"/>
    <col min="6" max="6" width="17" customWidth="1"/>
    <col min="7" max="7" width="14.5703125" customWidth="1"/>
  </cols>
  <sheetData>
    <row r="2" spans="1:7" x14ac:dyDescent="0.25">
      <c r="A2" s="42"/>
      <c r="B2" s="43"/>
      <c r="C2" s="43"/>
      <c r="D2" s="43"/>
      <c r="E2" s="43"/>
      <c r="F2" s="43"/>
      <c r="G2" s="43"/>
    </row>
    <row r="3" spans="1:7" x14ac:dyDescent="0.25">
      <c r="A3" s="43"/>
      <c r="B3" s="42"/>
      <c r="C3" s="42"/>
      <c r="D3" s="42"/>
      <c r="E3" s="42"/>
      <c r="F3" s="43"/>
      <c r="G3" s="43"/>
    </row>
    <row r="4" spans="1:7" x14ac:dyDescent="0.25">
      <c r="A4" s="48" t="s">
        <v>108</v>
      </c>
      <c r="B4" s="44">
        <v>781242</v>
      </c>
      <c r="C4" s="42"/>
      <c r="D4" s="42"/>
      <c r="E4" s="42"/>
      <c r="F4" s="43"/>
      <c r="G4" s="43"/>
    </row>
    <row r="5" spans="1:7" x14ac:dyDescent="0.25">
      <c r="A5" s="43"/>
      <c r="B5" s="42"/>
      <c r="C5" s="42"/>
      <c r="D5" s="42"/>
      <c r="E5" s="42"/>
      <c r="F5" s="43"/>
      <c r="G5" s="43"/>
    </row>
    <row r="6" spans="1:7" x14ac:dyDescent="0.25">
      <c r="A6" s="43"/>
      <c r="B6" s="415" t="s">
        <v>109</v>
      </c>
      <c r="C6" s="416"/>
      <c r="D6" s="416"/>
      <c r="E6" s="416"/>
      <c r="F6" s="416"/>
      <c r="G6" s="416"/>
    </row>
    <row r="7" spans="1:7" x14ac:dyDescent="0.25">
      <c r="A7" s="43"/>
      <c r="B7" s="417" t="s">
        <v>110</v>
      </c>
      <c r="C7" s="417" t="s">
        <v>111</v>
      </c>
      <c r="D7" s="419" t="s">
        <v>112</v>
      </c>
      <c r="E7" s="420"/>
      <c r="F7" s="419" t="s">
        <v>113</v>
      </c>
      <c r="G7" s="420"/>
    </row>
    <row r="8" spans="1:7" x14ac:dyDescent="0.25">
      <c r="A8" s="43"/>
      <c r="B8" s="418"/>
      <c r="C8" s="418"/>
      <c r="D8" s="49" t="s">
        <v>114</v>
      </c>
      <c r="E8" s="49" t="s">
        <v>115</v>
      </c>
      <c r="F8" s="49" t="s">
        <v>116</v>
      </c>
      <c r="G8" s="49" t="s">
        <v>115</v>
      </c>
    </row>
    <row r="9" spans="1:7" x14ac:dyDescent="0.25">
      <c r="A9" s="43"/>
      <c r="B9" s="46" t="s">
        <v>117</v>
      </c>
      <c r="C9" s="46" t="s">
        <v>124</v>
      </c>
      <c r="D9" s="45">
        <v>6</v>
      </c>
      <c r="E9" s="45">
        <v>20</v>
      </c>
      <c r="F9" s="47">
        <f>D9*B4</f>
        <v>4687452</v>
      </c>
      <c r="G9" s="47">
        <f>E9*B4</f>
        <v>15624840</v>
      </c>
    </row>
    <row r="10" spans="1:7" x14ac:dyDescent="0.25">
      <c r="A10" s="43"/>
      <c r="B10" s="46" t="s">
        <v>117</v>
      </c>
      <c r="C10" s="46" t="s">
        <v>125</v>
      </c>
      <c r="D10" s="45">
        <v>21</v>
      </c>
      <c r="E10" s="45">
        <v>100</v>
      </c>
      <c r="F10" s="47">
        <f>D10*B4</f>
        <v>16406082</v>
      </c>
      <c r="G10" s="47">
        <f>E10*B4</f>
        <v>78124200</v>
      </c>
    </row>
    <row r="11" spans="1:7" x14ac:dyDescent="0.25">
      <c r="A11" s="43"/>
      <c r="B11" s="43"/>
      <c r="C11" s="43"/>
      <c r="D11" s="43"/>
      <c r="E11" s="43"/>
      <c r="F11" s="43"/>
      <c r="G11" s="43"/>
    </row>
    <row r="12" spans="1:7" x14ac:dyDescent="0.25">
      <c r="A12" s="43"/>
      <c r="B12" s="43"/>
      <c r="C12" s="43"/>
      <c r="D12" s="43"/>
      <c r="E12" s="43"/>
      <c r="F12" s="43"/>
      <c r="G12" s="43"/>
    </row>
    <row r="13" spans="1:7" x14ac:dyDescent="0.25">
      <c r="A13" s="43"/>
      <c r="B13" s="421" t="s">
        <v>120</v>
      </c>
      <c r="C13" s="422"/>
      <c r="D13" s="422"/>
      <c r="E13" s="422"/>
      <c r="F13" s="422"/>
      <c r="G13" s="422"/>
    </row>
    <row r="14" spans="1:7" x14ac:dyDescent="0.25">
      <c r="A14" s="43"/>
      <c r="B14" s="411" t="s">
        <v>110</v>
      </c>
      <c r="C14" s="411" t="s">
        <v>111</v>
      </c>
      <c r="D14" s="413" t="s">
        <v>112</v>
      </c>
      <c r="E14" s="414"/>
      <c r="F14" s="413" t="s">
        <v>113</v>
      </c>
      <c r="G14" s="414"/>
    </row>
    <row r="15" spans="1:7" x14ac:dyDescent="0.25">
      <c r="A15" s="43"/>
      <c r="B15" s="412"/>
      <c r="C15" s="412"/>
      <c r="D15" s="45" t="s">
        <v>114</v>
      </c>
      <c r="E15" s="45" t="s">
        <v>115</v>
      </c>
      <c r="F15" s="45" t="s">
        <v>116</v>
      </c>
      <c r="G15" s="45" t="s">
        <v>115</v>
      </c>
    </row>
    <row r="16" spans="1:7" x14ac:dyDescent="0.25">
      <c r="A16" s="43"/>
      <c r="B16" s="46" t="s">
        <v>121</v>
      </c>
      <c r="C16" s="46" t="s">
        <v>118</v>
      </c>
      <c r="D16" s="45">
        <v>20</v>
      </c>
      <c r="E16" s="45">
        <v>24</v>
      </c>
      <c r="F16" s="47">
        <f>D16*B4</f>
        <v>15624840</v>
      </c>
      <c r="G16" s="47">
        <f>E16*B4</f>
        <v>18749808</v>
      </c>
    </row>
    <row r="17" spans="1:7" x14ac:dyDescent="0.25">
      <c r="A17" s="43"/>
      <c r="B17" s="46" t="s">
        <v>121</v>
      </c>
      <c r="C17" s="46" t="s">
        <v>119</v>
      </c>
      <c r="D17" s="45">
        <v>25</v>
      </c>
      <c r="E17" s="45">
        <v>150</v>
      </c>
      <c r="F17" s="47">
        <f>D17*B4</f>
        <v>19531050</v>
      </c>
      <c r="G17" s="47">
        <f>E17*B4</f>
        <v>117186300</v>
      </c>
    </row>
    <row r="18" spans="1:7" x14ac:dyDescent="0.25">
      <c r="A18" s="43"/>
      <c r="B18" s="43"/>
      <c r="C18" s="43"/>
      <c r="D18" s="43"/>
      <c r="E18" s="43"/>
      <c r="F18" s="43"/>
      <c r="G18" s="43"/>
    </row>
    <row r="19" spans="1:7" x14ac:dyDescent="0.25">
      <c r="A19" s="43"/>
      <c r="B19" s="421" t="s">
        <v>122</v>
      </c>
      <c r="C19" s="422"/>
      <c r="D19" s="422"/>
      <c r="E19" s="422"/>
      <c r="F19" s="422"/>
      <c r="G19" s="422"/>
    </row>
    <row r="20" spans="1:7" x14ac:dyDescent="0.25">
      <c r="A20" s="43"/>
      <c r="B20" s="411" t="s">
        <v>110</v>
      </c>
      <c r="C20" s="411" t="s">
        <v>111</v>
      </c>
      <c r="D20" s="413" t="s">
        <v>112</v>
      </c>
      <c r="E20" s="414"/>
      <c r="F20" s="413" t="s">
        <v>113</v>
      </c>
      <c r="G20" s="414"/>
    </row>
    <row r="21" spans="1:7" x14ac:dyDescent="0.25">
      <c r="A21" s="43"/>
      <c r="B21" s="412"/>
      <c r="C21" s="412"/>
      <c r="D21" s="45" t="s">
        <v>114</v>
      </c>
      <c r="E21" s="45" t="s">
        <v>115</v>
      </c>
      <c r="F21" s="45" t="s">
        <v>116</v>
      </c>
      <c r="G21" s="45" t="s">
        <v>115</v>
      </c>
    </row>
    <row r="22" spans="1:7" x14ac:dyDescent="0.25">
      <c r="A22" s="43"/>
      <c r="B22" s="46" t="s">
        <v>123</v>
      </c>
      <c r="C22" s="46" t="s">
        <v>118</v>
      </c>
      <c r="D22" s="45">
        <v>21</v>
      </c>
      <c r="E22" s="45">
        <v>50</v>
      </c>
      <c r="F22" s="47">
        <f>D22*B4</f>
        <v>16406082</v>
      </c>
      <c r="G22" s="47">
        <f>E22*B4</f>
        <v>39062100</v>
      </c>
    </row>
    <row r="23" spans="1:7" x14ac:dyDescent="0.25">
      <c r="A23" s="43"/>
      <c r="B23" s="46" t="s">
        <v>123</v>
      </c>
      <c r="C23" s="46" t="s">
        <v>119</v>
      </c>
      <c r="D23" s="45">
        <v>51</v>
      </c>
      <c r="E23" s="45">
        <v>100</v>
      </c>
      <c r="F23" s="47">
        <f>D23*B4</f>
        <v>39843342</v>
      </c>
      <c r="G23" s="47">
        <f>E23*B4</f>
        <v>78124200</v>
      </c>
    </row>
  </sheetData>
  <sheetProtection algorithmName="SHA-512" hashValue="VetKIUAxBcKEmeIYCOxizJ8kxR53ddM6S0rAnDdxnDuDhmHAzdNq096etxbq3XmOhhDY1sMlSa52fR5UzuBpQg==" saltValue="C2sBRMRx52tqm/4ZC57z3Q==" spinCount="100000" sheet="1" objects="1" scenarios="1"/>
  <mergeCells count="15">
    <mergeCell ref="B20:B21"/>
    <mergeCell ref="C20:C21"/>
    <mergeCell ref="D20:E20"/>
    <mergeCell ref="F20:G20"/>
    <mergeCell ref="B6:G6"/>
    <mergeCell ref="B7:B8"/>
    <mergeCell ref="C7:C8"/>
    <mergeCell ref="D7:E7"/>
    <mergeCell ref="F7:G7"/>
    <mergeCell ref="B13:G13"/>
    <mergeCell ref="B14:B15"/>
    <mergeCell ref="C14:C15"/>
    <mergeCell ref="D14:E14"/>
    <mergeCell ref="F14:G14"/>
    <mergeCell ref="B19:G1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8:I66"/>
  <sheetViews>
    <sheetView showGridLines="0" view="pageBreakPreview" zoomScale="62" zoomScaleNormal="100" zoomScaleSheetLayoutView="100" workbookViewId="0">
      <selection activeCell="H71" sqref="H71"/>
    </sheetView>
  </sheetViews>
  <sheetFormatPr baseColWidth="10" defaultColWidth="11.42578125" defaultRowHeight="17.25" x14ac:dyDescent="0.25"/>
  <cols>
    <col min="1" max="1" width="3.28515625" style="214" customWidth="1"/>
    <col min="2" max="2" width="3.85546875" style="214" customWidth="1"/>
    <col min="3" max="3" width="77" style="214" customWidth="1"/>
    <col min="4" max="4" width="4.140625" style="214" customWidth="1"/>
    <col min="5" max="5" width="12.7109375" style="214" customWidth="1"/>
    <col min="6" max="6" width="12" style="214" customWidth="1"/>
    <col min="7" max="7" width="3.5703125" style="214" customWidth="1"/>
    <col min="8" max="8" width="61.140625" style="214" customWidth="1"/>
    <col min="9" max="9" width="4.140625" style="214" customWidth="1"/>
    <col min="10" max="16384" width="11.42578125" style="214"/>
  </cols>
  <sheetData>
    <row r="8" spans="1:9" ht="18" thickBot="1" x14ac:dyDescent="0.3">
      <c r="A8" s="339"/>
    </row>
    <row r="9" spans="1:9" ht="18" thickBot="1" x14ac:dyDescent="0.3">
      <c r="A9" s="339"/>
      <c r="B9" s="326"/>
      <c r="C9" s="327"/>
      <c r="D9" s="327"/>
      <c r="E9" s="327"/>
      <c r="F9" s="327"/>
      <c r="G9" s="327"/>
      <c r="H9" s="327"/>
      <c r="I9" s="328"/>
    </row>
    <row r="10" spans="1:9" ht="18" thickBot="1" x14ac:dyDescent="0.3">
      <c r="A10" s="339"/>
      <c r="B10" s="329"/>
      <c r="C10" s="423" t="s">
        <v>324</v>
      </c>
      <c r="D10" s="424"/>
      <c r="E10" s="424"/>
      <c r="F10" s="424"/>
      <c r="G10" s="424"/>
      <c r="H10" s="425"/>
      <c r="I10" s="330"/>
    </row>
    <row r="11" spans="1:9" x14ac:dyDescent="0.25">
      <c r="A11" s="339"/>
      <c r="B11" s="329"/>
      <c r="C11" s="276"/>
      <c r="D11" s="276"/>
      <c r="E11" s="276"/>
      <c r="F11" s="276"/>
      <c r="G11" s="276"/>
      <c r="H11" s="276"/>
      <c r="I11" s="330"/>
    </row>
    <row r="12" spans="1:9" ht="61.5" customHeight="1" x14ac:dyDescent="0.25">
      <c r="A12" s="339"/>
      <c r="B12" s="329"/>
      <c r="C12" s="389" t="s">
        <v>325</v>
      </c>
      <c r="D12" s="390"/>
      <c r="E12" s="390"/>
      <c r="F12" s="390"/>
      <c r="G12" s="390"/>
      <c r="H12" s="391"/>
      <c r="I12" s="330"/>
    </row>
    <row r="13" spans="1:9" x14ac:dyDescent="0.25">
      <c r="A13" s="339"/>
      <c r="B13" s="329"/>
      <c r="C13" s="276"/>
      <c r="D13" s="276"/>
      <c r="E13" s="276"/>
      <c r="F13" s="276"/>
      <c r="G13" s="276"/>
      <c r="H13" s="276"/>
      <c r="I13" s="330"/>
    </row>
    <row r="14" spans="1:9" x14ac:dyDescent="0.25">
      <c r="A14" s="339"/>
      <c r="B14" s="329"/>
      <c r="C14" s="385" t="s">
        <v>242</v>
      </c>
      <c r="D14" s="385"/>
      <c r="E14" s="385"/>
      <c r="F14" s="385"/>
      <c r="G14" s="385"/>
      <c r="H14" s="385"/>
      <c r="I14" s="330"/>
    </row>
    <row r="15" spans="1:9" x14ac:dyDescent="0.25">
      <c r="A15" s="339"/>
      <c r="B15" s="329"/>
      <c r="C15" s="276"/>
      <c r="D15" s="276"/>
      <c r="E15" s="276"/>
      <c r="F15" s="276"/>
      <c r="G15" s="276"/>
      <c r="H15" s="276"/>
      <c r="I15" s="330"/>
    </row>
    <row r="16" spans="1:9" x14ac:dyDescent="0.25">
      <c r="A16" s="339"/>
      <c r="B16" s="329"/>
      <c r="C16" s="426" t="s">
        <v>240</v>
      </c>
      <c r="D16" s="426"/>
      <c r="E16" s="426"/>
      <c r="F16" s="426"/>
      <c r="G16" s="426"/>
      <c r="H16" s="426"/>
      <c r="I16" s="330"/>
    </row>
    <row r="17" spans="1:9" x14ac:dyDescent="0.25">
      <c r="A17" s="339"/>
      <c r="B17" s="329"/>
      <c r="C17" s="426" t="s">
        <v>126</v>
      </c>
      <c r="D17" s="426"/>
      <c r="E17" s="426"/>
      <c r="F17" s="426"/>
      <c r="G17" s="426"/>
      <c r="H17" s="426"/>
      <c r="I17" s="330"/>
    </row>
    <row r="18" spans="1:9" x14ac:dyDescent="0.25">
      <c r="A18" s="339"/>
      <c r="B18" s="329"/>
      <c r="C18" s="290"/>
      <c r="D18" s="290"/>
      <c r="E18" s="290"/>
      <c r="F18" s="290"/>
      <c r="G18" s="290"/>
      <c r="H18" s="290"/>
      <c r="I18" s="330"/>
    </row>
    <row r="19" spans="1:9" ht="34.5" x14ac:dyDescent="0.25">
      <c r="A19" s="339"/>
      <c r="B19" s="329"/>
      <c r="C19" s="232" t="s">
        <v>127</v>
      </c>
      <c r="D19" s="276"/>
      <c r="E19" s="290"/>
      <c r="F19" s="290"/>
      <c r="G19" s="290"/>
      <c r="H19" s="270" t="s">
        <v>327</v>
      </c>
      <c r="I19" s="330"/>
    </row>
    <row r="20" spans="1:9" ht="18" thickBot="1" x14ac:dyDescent="0.3">
      <c r="A20" s="339"/>
      <c r="B20" s="329"/>
      <c r="C20" s="276"/>
      <c r="D20" s="276"/>
      <c r="E20" s="290"/>
      <c r="F20" s="290"/>
      <c r="G20" s="290"/>
      <c r="H20" s="276"/>
      <c r="I20" s="330"/>
    </row>
    <row r="21" spans="1:9" ht="18" thickBot="1" x14ac:dyDescent="0.3">
      <c r="A21" s="339"/>
      <c r="B21" s="332" t="s">
        <v>141</v>
      </c>
      <c r="C21" s="218">
        <v>1500000</v>
      </c>
      <c r="D21" s="276" t="s">
        <v>20</v>
      </c>
      <c r="E21" s="290"/>
      <c r="F21" s="290"/>
      <c r="G21" s="290"/>
      <c r="H21" s="331">
        <f>+C21*12</f>
        <v>18000000</v>
      </c>
      <c r="I21" s="330"/>
    </row>
    <row r="22" spans="1:9" x14ac:dyDescent="0.25">
      <c r="A22" s="339"/>
      <c r="B22" s="329"/>
      <c r="C22" s="290"/>
      <c r="D22" s="290"/>
      <c r="E22" s="290"/>
      <c r="F22" s="290"/>
      <c r="G22" s="290"/>
      <c r="H22" s="290"/>
      <c r="I22" s="330"/>
    </row>
    <row r="23" spans="1:9" x14ac:dyDescent="0.25">
      <c r="A23" s="339"/>
      <c r="B23" s="329"/>
      <c r="C23" s="270" t="s">
        <v>326</v>
      </c>
      <c r="D23" s="290"/>
      <c r="E23" s="290"/>
      <c r="F23" s="290"/>
      <c r="G23" s="290"/>
      <c r="H23" s="270" t="s">
        <v>128</v>
      </c>
      <c r="I23" s="330"/>
    </row>
    <row r="24" spans="1:9" ht="18" thickBot="1" x14ac:dyDescent="0.3">
      <c r="A24" s="339"/>
      <c r="B24" s="329"/>
      <c r="C24" s="276"/>
      <c r="D24" s="290"/>
      <c r="E24" s="290"/>
      <c r="F24" s="290"/>
      <c r="G24" s="290"/>
      <c r="H24" s="276"/>
      <c r="I24" s="330"/>
    </row>
    <row r="25" spans="1:9" ht="18" thickBot="1" x14ac:dyDescent="0.3">
      <c r="A25" s="339"/>
      <c r="B25" s="329"/>
      <c r="C25" s="331">
        <f>+C21*21.83%*12</f>
        <v>3929400</v>
      </c>
      <c r="D25" s="290"/>
      <c r="E25" s="290"/>
      <c r="F25" s="290"/>
      <c r="G25" s="290"/>
      <c r="H25" s="331">
        <f>+C25+H21</f>
        <v>21929400</v>
      </c>
      <c r="I25" s="330"/>
    </row>
    <row r="26" spans="1:9" x14ac:dyDescent="0.25">
      <c r="A26" s="339"/>
      <c r="B26" s="329"/>
      <c r="C26" s="290"/>
      <c r="D26" s="290"/>
      <c r="E26" s="290"/>
      <c r="F26" s="290"/>
      <c r="G26" s="290"/>
      <c r="H26" s="290"/>
      <c r="I26" s="330"/>
    </row>
    <row r="27" spans="1:9" ht="34.5" x14ac:dyDescent="0.25">
      <c r="A27" s="339"/>
      <c r="B27" s="332" t="s">
        <v>142</v>
      </c>
      <c r="C27" s="232" t="s">
        <v>329</v>
      </c>
      <c r="D27" s="290"/>
      <c r="E27" s="427" t="s">
        <v>328</v>
      </c>
      <c r="F27" s="427"/>
      <c r="G27" s="332" t="s">
        <v>143</v>
      </c>
      <c r="H27" s="232" t="s">
        <v>332</v>
      </c>
      <c r="I27" s="330"/>
    </row>
    <row r="28" spans="1:9" ht="18" thickBot="1" x14ac:dyDescent="0.3">
      <c r="A28" s="339"/>
      <c r="B28" s="329"/>
      <c r="C28" s="276"/>
      <c r="D28" s="290"/>
      <c r="E28" s="290"/>
      <c r="F28" s="290"/>
      <c r="G28" s="290"/>
      <c r="H28" s="276"/>
      <c r="I28" s="330"/>
    </row>
    <row r="29" spans="1:9" ht="18" thickBot="1" x14ac:dyDescent="0.3">
      <c r="A29" s="339"/>
      <c r="B29" s="329"/>
      <c r="C29" s="219" t="s">
        <v>130</v>
      </c>
      <c r="D29" s="290" t="s">
        <v>20</v>
      </c>
      <c r="E29" s="434">
        <f>+(4.09%+5.75%+6.77%+3.66%+1.94%+2.44%+3.73%+3.27%+2%+7.67%)/10</f>
        <v>4.1320000000000003E-2</v>
      </c>
      <c r="F29" s="435"/>
      <c r="G29" s="290"/>
      <c r="H29" s="220">
        <v>20</v>
      </c>
      <c r="I29" s="330" t="s">
        <v>20</v>
      </c>
    </row>
    <row r="30" spans="1:9" x14ac:dyDescent="0.25">
      <c r="A30" s="339"/>
      <c r="B30" s="329"/>
      <c r="C30" s="290"/>
      <c r="D30" s="290"/>
      <c r="E30" s="290"/>
      <c r="F30" s="290"/>
      <c r="G30" s="290"/>
      <c r="H30" s="290"/>
      <c r="I30" s="330"/>
    </row>
    <row r="31" spans="1:9" x14ac:dyDescent="0.25">
      <c r="A31" s="339"/>
      <c r="B31" s="329"/>
      <c r="C31" s="270" t="s">
        <v>330</v>
      </c>
      <c r="D31" s="290"/>
      <c r="E31" s="290"/>
      <c r="F31" s="290"/>
      <c r="G31" s="290"/>
      <c r="H31" s="270" t="s">
        <v>333</v>
      </c>
      <c r="I31" s="330"/>
    </row>
    <row r="32" spans="1:9" ht="18" thickBot="1" x14ac:dyDescent="0.3">
      <c r="A32" s="339"/>
      <c r="B32" s="329"/>
      <c r="C32" s="276"/>
      <c r="D32" s="290"/>
      <c r="E32" s="290"/>
      <c r="F32" s="290"/>
      <c r="G32" s="290"/>
      <c r="H32" s="276"/>
      <c r="I32" s="330"/>
    </row>
    <row r="33" spans="1:9" ht="18" thickBot="1" x14ac:dyDescent="0.3">
      <c r="A33" s="339"/>
      <c r="B33" s="329"/>
      <c r="C33" s="333">
        <f>+IF(C29='DATOS DEMANDAS'!B3,'DATOS DEMANDAS'!A3,IF(C29='DATOS DEMANDAS'!B4,'DATOS DEMANDAS'!A4,'DATOS DEMANDAS'!A5))</f>
        <v>77</v>
      </c>
      <c r="D33" s="290"/>
      <c r="E33" s="290"/>
      <c r="F33" s="290"/>
      <c r="G33" s="290"/>
      <c r="H33" s="333">
        <f>+C33-H29</f>
        <v>57</v>
      </c>
      <c r="I33" s="330"/>
    </row>
    <row r="34" spans="1:9" x14ac:dyDescent="0.25">
      <c r="A34" s="339"/>
      <c r="B34" s="329"/>
      <c r="C34" s="290"/>
      <c r="D34" s="290"/>
      <c r="E34" s="290"/>
      <c r="F34" s="290"/>
      <c r="G34" s="290"/>
      <c r="H34" s="290"/>
      <c r="I34" s="330"/>
    </row>
    <row r="35" spans="1:9" ht="35.25" thickBot="1" x14ac:dyDescent="0.3">
      <c r="A35" s="339"/>
      <c r="B35" s="329"/>
      <c r="C35" s="290"/>
      <c r="D35" s="290"/>
      <c r="E35" s="290"/>
      <c r="F35" s="290"/>
      <c r="G35" s="290"/>
      <c r="H35" s="281" t="s">
        <v>134</v>
      </c>
      <c r="I35" s="330"/>
    </row>
    <row r="36" spans="1:9" ht="18.75" thickTop="1" thickBot="1" x14ac:dyDescent="0.3">
      <c r="A36" s="339"/>
      <c r="B36" s="329"/>
      <c r="C36" s="290"/>
      <c r="D36" s="290"/>
      <c r="E36" s="290"/>
      <c r="F36" s="290"/>
      <c r="G36" s="290"/>
      <c r="H36" s="276"/>
      <c r="I36" s="330"/>
    </row>
    <row r="37" spans="1:9" ht="18" thickBot="1" x14ac:dyDescent="0.3">
      <c r="A37" s="339"/>
      <c r="B37" s="329"/>
      <c r="C37" s="290"/>
      <c r="D37" s="290"/>
      <c r="E37" s="290"/>
      <c r="F37" s="290"/>
      <c r="G37" s="290"/>
      <c r="H37" s="299">
        <f>+VLOOKUP(H33,'DATOS DEMANDAS'!G4:I64,3,0)</f>
        <v>4804671489.7068911</v>
      </c>
      <c r="I37" s="330"/>
    </row>
    <row r="38" spans="1:9" x14ac:dyDescent="0.25">
      <c r="A38" s="339"/>
      <c r="B38" s="329"/>
      <c r="C38" s="290"/>
      <c r="D38" s="290"/>
      <c r="E38" s="290"/>
      <c r="F38" s="290"/>
      <c r="G38" s="290"/>
      <c r="H38" s="290"/>
      <c r="I38" s="330"/>
    </row>
    <row r="39" spans="1:9" x14ac:dyDescent="0.25">
      <c r="A39" s="339"/>
      <c r="B39" s="329"/>
      <c r="C39" s="428" t="s">
        <v>216</v>
      </c>
      <c r="D39" s="428"/>
      <c r="E39" s="428"/>
      <c r="F39" s="428"/>
      <c r="G39" s="428"/>
      <c r="H39" s="428"/>
      <c r="I39" s="330"/>
    </row>
    <row r="40" spans="1:9" x14ac:dyDescent="0.25">
      <c r="A40" s="339"/>
      <c r="B40" s="329"/>
      <c r="C40" s="429" t="s">
        <v>331</v>
      </c>
      <c r="D40" s="429"/>
      <c r="E40" s="429"/>
      <c r="F40" s="429"/>
      <c r="G40" s="429"/>
      <c r="H40" s="429"/>
      <c r="I40" s="330"/>
    </row>
    <row r="41" spans="1:9" x14ac:dyDescent="0.25">
      <c r="A41" s="339"/>
      <c r="B41" s="329"/>
      <c r="C41" s="290"/>
      <c r="D41" s="290"/>
      <c r="E41" s="290"/>
      <c r="F41" s="290"/>
      <c r="G41" s="290"/>
      <c r="H41" s="290"/>
      <c r="I41" s="330"/>
    </row>
    <row r="42" spans="1:9" ht="51.75" x14ac:dyDescent="0.25">
      <c r="A42" s="339"/>
      <c r="B42" s="332" t="s">
        <v>195</v>
      </c>
      <c r="C42" s="232" t="s">
        <v>334</v>
      </c>
      <c r="D42" s="290"/>
      <c r="E42" s="290"/>
      <c r="F42" s="290"/>
      <c r="G42" s="290"/>
      <c r="H42" s="290"/>
      <c r="I42" s="330"/>
    </row>
    <row r="43" spans="1:9" ht="18" thickBot="1" x14ac:dyDescent="0.3">
      <c r="A43" s="339"/>
      <c r="B43" s="332"/>
      <c r="C43" s="276"/>
      <c r="D43" s="290"/>
      <c r="E43" s="290"/>
      <c r="F43" s="290"/>
      <c r="G43" s="290"/>
      <c r="H43" s="290"/>
      <c r="I43" s="330"/>
    </row>
    <row r="44" spans="1:9" ht="18" thickBot="1" x14ac:dyDescent="0.3">
      <c r="A44" s="339"/>
      <c r="B44" s="329"/>
      <c r="C44" s="220">
        <v>3</v>
      </c>
      <c r="D44" s="290" t="s">
        <v>20</v>
      </c>
      <c r="E44" s="290"/>
      <c r="F44" s="290"/>
      <c r="G44" s="290"/>
      <c r="H44" s="290"/>
      <c r="I44" s="330"/>
    </row>
    <row r="45" spans="1:9" x14ac:dyDescent="0.25">
      <c r="A45" s="339"/>
      <c r="B45" s="329"/>
      <c r="C45" s="290"/>
      <c r="D45" s="290"/>
      <c r="E45" s="290"/>
      <c r="F45" s="290"/>
      <c r="G45" s="290"/>
      <c r="H45" s="290"/>
      <c r="I45" s="330"/>
    </row>
    <row r="46" spans="1:9" x14ac:dyDescent="0.25">
      <c r="A46" s="339"/>
      <c r="B46" s="329"/>
      <c r="C46" s="334" t="s">
        <v>335</v>
      </c>
      <c r="D46" s="290"/>
      <c r="E46" s="290"/>
      <c r="F46" s="290"/>
      <c r="G46" s="290"/>
      <c r="H46" s="334" t="s">
        <v>341</v>
      </c>
      <c r="I46" s="330"/>
    </row>
    <row r="47" spans="1:9" ht="18" thickBot="1" x14ac:dyDescent="0.3">
      <c r="A47" s="339"/>
      <c r="B47" s="329"/>
      <c r="C47" s="276"/>
      <c r="D47" s="290"/>
      <c r="E47" s="290"/>
      <c r="F47" s="290"/>
      <c r="G47" s="290"/>
      <c r="H47" s="276"/>
      <c r="I47" s="330"/>
    </row>
    <row r="48" spans="1:9" ht="18" thickBot="1" x14ac:dyDescent="0.3">
      <c r="A48" s="339"/>
      <c r="B48" s="329"/>
      <c r="C48" s="333">
        <f>+IF(H37=0,0,'DATOS DEMANDAS'!C73)</f>
        <v>100</v>
      </c>
      <c r="D48" s="290"/>
      <c r="E48" s="290"/>
      <c r="F48" s="290"/>
      <c r="G48" s="290"/>
      <c r="H48" s="333">
        <f>+IF(H37=0,0,'DATOS DEMANDAS'!D73)</f>
        <v>1000</v>
      </c>
      <c r="I48" s="330"/>
    </row>
    <row r="49" spans="1:9" x14ac:dyDescent="0.25">
      <c r="A49" s="339"/>
      <c r="B49" s="329"/>
      <c r="C49" s="290"/>
      <c r="D49" s="290"/>
      <c r="E49" s="290"/>
      <c r="F49" s="290"/>
      <c r="G49" s="290"/>
      <c r="H49" s="290"/>
      <c r="I49" s="330"/>
    </row>
    <row r="50" spans="1:9" x14ac:dyDescent="0.25">
      <c r="A50" s="339"/>
      <c r="B50" s="329"/>
      <c r="C50" s="334" t="s">
        <v>336</v>
      </c>
      <c r="D50" s="290"/>
      <c r="E50" s="290"/>
      <c r="F50" s="290"/>
      <c r="G50" s="290"/>
      <c r="H50" s="334" t="s">
        <v>342</v>
      </c>
      <c r="I50" s="330"/>
    </row>
    <row r="51" spans="1:9" ht="18" thickBot="1" x14ac:dyDescent="0.3">
      <c r="A51" s="339"/>
      <c r="B51" s="329"/>
      <c r="C51" s="276"/>
      <c r="D51" s="290"/>
      <c r="E51" s="290"/>
      <c r="F51" s="290"/>
      <c r="G51" s="290"/>
      <c r="H51" s="276"/>
      <c r="I51" s="330"/>
    </row>
    <row r="52" spans="1:9" ht="18" thickBot="1" x14ac:dyDescent="0.3">
      <c r="A52" s="339"/>
      <c r="B52" s="329"/>
      <c r="C52" s="299">
        <f>+IF(H37=0,0,'DATOS DEMANDAS'!E73)</f>
        <v>78124200</v>
      </c>
      <c r="D52" s="290"/>
      <c r="E52" s="290"/>
      <c r="F52" s="290"/>
      <c r="G52" s="290"/>
      <c r="H52" s="299">
        <f>+IF(H37=0,0,'DATOS DEMANDAS'!F73)</f>
        <v>781242000</v>
      </c>
      <c r="I52" s="330"/>
    </row>
    <row r="53" spans="1:9" x14ac:dyDescent="0.25">
      <c r="A53" s="339"/>
      <c r="B53" s="329"/>
      <c r="C53" s="276"/>
      <c r="D53" s="276"/>
      <c r="E53" s="276"/>
      <c r="F53" s="276"/>
      <c r="G53" s="276"/>
      <c r="H53" s="276"/>
      <c r="I53" s="330"/>
    </row>
    <row r="54" spans="1:9" x14ac:dyDescent="0.25">
      <c r="A54" s="339"/>
      <c r="B54" s="329"/>
      <c r="C54" s="334" t="s">
        <v>337</v>
      </c>
      <c r="D54" s="290"/>
      <c r="E54" s="290"/>
      <c r="F54" s="290"/>
      <c r="G54" s="290"/>
      <c r="H54" s="334" t="s">
        <v>343</v>
      </c>
      <c r="I54" s="330"/>
    </row>
    <row r="55" spans="1:9" ht="18" thickBot="1" x14ac:dyDescent="0.3">
      <c r="A55" s="339"/>
      <c r="B55" s="329"/>
      <c r="C55" s="276"/>
      <c r="D55" s="290"/>
      <c r="E55" s="290"/>
      <c r="F55" s="290"/>
      <c r="G55" s="290"/>
      <c r="H55" s="276"/>
      <c r="I55" s="330"/>
    </row>
    <row r="56" spans="1:9" ht="18" thickBot="1" x14ac:dyDescent="0.3">
      <c r="A56" s="339"/>
      <c r="B56" s="329"/>
      <c r="C56" s="299">
        <f>+C52*C44</f>
        <v>234372600</v>
      </c>
      <c r="D56" s="290"/>
      <c r="E56" s="290"/>
      <c r="F56" s="290"/>
      <c r="G56" s="290"/>
      <c r="H56" s="299">
        <f>+H52*C44</f>
        <v>2343726000</v>
      </c>
      <c r="I56" s="330"/>
    </row>
    <row r="57" spans="1:9" x14ac:dyDescent="0.25">
      <c r="A57" s="339"/>
      <c r="B57" s="329"/>
      <c r="C57" s="335"/>
      <c r="D57" s="290"/>
      <c r="E57" s="290"/>
      <c r="F57" s="290"/>
      <c r="G57" s="290"/>
      <c r="H57" s="335"/>
      <c r="I57" s="330"/>
    </row>
    <row r="58" spans="1:9" ht="18" thickBot="1" x14ac:dyDescent="0.3">
      <c r="A58" s="339"/>
      <c r="B58" s="329"/>
      <c r="C58" s="276"/>
      <c r="D58" s="276"/>
      <c r="E58" s="276"/>
      <c r="F58" s="276"/>
      <c r="G58" s="276"/>
      <c r="H58" s="276"/>
      <c r="I58" s="330"/>
    </row>
    <row r="59" spans="1:9" ht="18" thickBot="1" x14ac:dyDescent="0.3">
      <c r="A59" s="339"/>
      <c r="B59" s="326"/>
      <c r="C59" s="327"/>
      <c r="D59" s="327"/>
      <c r="E59" s="327"/>
      <c r="F59" s="327"/>
      <c r="G59" s="327"/>
      <c r="H59" s="327"/>
      <c r="I59" s="328"/>
    </row>
    <row r="60" spans="1:9" x14ac:dyDescent="0.25">
      <c r="A60" s="339"/>
      <c r="B60" s="329"/>
      <c r="C60" s="430" t="s">
        <v>338</v>
      </c>
      <c r="D60" s="276"/>
      <c r="E60" s="276"/>
      <c r="F60" s="276"/>
      <c r="G60" s="276"/>
      <c r="H60" s="432">
        <f>+H56+H37</f>
        <v>7148397489.7068911</v>
      </c>
      <c r="I60" s="330"/>
    </row>
    <row r="61" spans="1:9" ht="18" thickBot="1" x14ac:dyDescent="0.3">
      <c r="A61" s="339"/>
      <c r="B61" s="329"/>
      <c r="C61" s="431"/>
      <c r="D61" s="276"/>
      <c r="E61" s="276"/>
      <c r="F61" s="276"/>
      <c r="G61" s="276"/>
      <c r="H61" s="433"/>
      <c r="I61" s="330"/>
    </row>
    <row r="62" spans="1:9" ht="18" thickBot="1" x14ac:dyDescent="0.3">
      <c r="A62" s="339"/>
      <c r="B62" s="336"/>
      <c r="C62" s="337"/>
      <c r="D62" s="337"/>
      <c r="E62" s="337"/>
      <c r="F62" s="337"/>
      <c r="G62" s="337"/>
      <c r="H62" s="337"/>
      <c r="I62" s="338"/>
    </row>
    <row r="64" spans="1:9" x14ac:dyDescent="0.3">
      <c r="C64" s="350" t="s">
        <v>356</v>
      </c>
    </row>
    <row r="65" spans="3:3" x14ac:dyDescent="0.3">
      <c r="C65" s="345" t="s">
        <v>364</v>
      </c>
    </row>
    <row r="66" spans="3:3" x14ac:dyDescent="0.3">
      <c r="C66" s="350" t="s">
        <v>365</v>
      </c>
    </row>
  </sheetData>
  <sheetProtection algorithmName="SHA-512" hashValue="FM+b2fZJdsskTNngPodb00iVO1DrGrxiM+kCfeeKL3TVcldPB1QvoEcBzx3n9DEBzdMCoRnZncGe1PpyU8eH7A==" saltValue="TpncZ4mJeSRrZJ6RKkKoaA==" spinCount="100000" sheet="1" objects="1" scenarios="1"/>
  <mergeCells count="11">
    <mergeCell ref="C39:H39"/>
    <mergeCell ref="C40:H40"/>
    <mergeCell ref="C60:C61"/>
    <mergeCell ref="H60:H61"/>
    <mergeCell ref="E29:F29"/>
    <mergeCell ref="C10:H10"/>
    <mergeCell ref="C12:H12"/>
    <mergeCell ref="C14:H14"/>
    <mergeCell ref="C17:H17"/>
    <mergeCell ref="E27:F27"/>
    <mergeCell ref="C16:H16"/>
  </mergeCells>
  <dataValidations count="1">
    <dataValidation showInputMessage="1" showErrorMessage="1" sqref="C21"/>
  </dataValidations>
  <pageMargins left="0.7" right="0.7" top="0.75" bottom="0.75" header="0.3" footer="0.3"/>
  <pageSetup scale="47" orientation="portrait" r:id="rId1"/>
  <ignoredErrors>
    <ignoredError sqref="B21 B27 G27 B42" numberStoredAsText="1"/>
    <ignoredError sqref="H21 H25 E29 C33 C25 H33 H37 C48 C52 C56 H48 H52 H56" unlockedFormula="1"/>
  </ignoredErrors>
  <drawing r:id="rId2"/>
  <extLst>
    <ext xmlns:x14="http://schemas.microsoft.com/office/spreadsheetml/2009/9/main" uri="{CCE6A557-97BC-4b89-ADB6-D9C93CAAB3DF}">
      <x14:dataValidations xmlns:xm="http://schemas.microsoft.com/office/excel/2006/main" count="3">
        <x14:dataValidation type="list" showInputMessage="1" showErrorMessage="1">
          <x14:formula1>
            <xm:f>'DATOS DEMANDAS'!$B$3:$B$5</xm:f>
          </x14:formula1>
          <xm:sqref>C29</xm:sqref>
        </x14:dataValidation>
        <x14:dataValidation type="list" showInputMessage="1" showErrorMessage="1">
          <x14:formula1>
            <xm:f>'DATOS DEMANDAS'!$D$3:$D$60</xm:f>
          </x14:formula1>
          <xm:sqref>H29</xm:sqref>
        </x14:dataValidation>
        <x14:dataValidation type="list" showInputMessage="1" showErrorMessage="1">
          <x14:formula1>
            <xm:f>'DATOS DEMANDAS'!$G$4:$G$53</xm:f>
          </x14:formula1>
          <xm:sqref>C44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workbookViewId="0">
      <selection activeCell="A5" sqref="A5"/>
    </sheetView>
  </sheetViews>
  <sheetFormatPr baseColWidth="10" defaultRowHeight="15" x14ac:dyDescent="0.25"/>
  <cols>
    <col min="1" max="1" width="18.140625" bestFit="1" customWidth="1"/>
    <col min="2" max="2" width="20.5703125" bestFit="1" customWidth="1"/>
    <col min="4" max="4" width="20.5703125" bestFit="1" customWidth="1"/>
    <col min="6" max="6" width="12.140625" bestFit="1" customWidth="1"/>
    <col min="7" max="7" width="14.42578125" bestFit="1" customWidth="1"/>
    <col min="8" max="8" width="26.5703125" bestFit="1" customWidth="1"/>
    <col min="9" max="9" width="38.85546875" bestFit="1" customWidth="1"/>
  </cols>
  <sheetData>
    <row r="1" spans="1:9" x14ac:dyDescent="0.25">
      <c r="G1" s="437"/>
      <c r="H1" s="437"/>
      <c r="I1" s="51">
        <f>+'COSTO POR DEMANDAS'!E29</f>
        <v>4.1320000000000003E-2</v>
      </c>
    </row>
    <row r="2" spans="1:9" x14ac:dyDescent="0.25">
      <c r="A2" s="50" t="s">
        <v>133</v>
      </c>
      <c r="B2" s="50" t="s">
        <v>129</v>
      </c>
      <c r="D2" s="50" t="s">
        <v>132</v>
      </c>
      <c r="G2" s="437"/>
      <c r="H2" s="437"/>
      <c r="I2" s="53" t="str">
        <f>+'[1]COSTOS POR DEMANDAS'!B15</f>
        <v xml:space="preserve">IPC PROMEDIO ULTIMOS  10 AÑOS </v>
      </c>
    </row>
    <row r="3" spans="1:9" x14ac:dyDescent="0.25">
      <c r="A3" s="27">
        <v>77</v>
      </c>
      <c r="B3" s="27" t="s">
        <v>130</v>
      </c>
      <c r="D3" s="27">
        <v>18</v>
      </c>
      <c r="G3" s="54" t="s">
        <v>135</v>
      </c>
      <c r="H3" s="55" t="str">
        <f>+'[1]COSTOS POR DEMANDAS'!B10</f>
        <v>INGRESO ANUAL  A RECIBIR</v>
      </c>
      <c r="I3" s="55" t="s">
        <v>136</v>
      </c>
    </row>
    <row r="4" spans="1:9" x14ac:dyDescent="0.25">
      <c r="A4" s="27">
        <v>71</v>
      </c>
      <c r="B4" s="27" t="s">
        <v>131</v>
      </c>
      <c r="D4" s="27">
        <v>19</v>
      </c>
      <c r="G4" s="52">
        <v>1</v>
      </c>
      <c r="H4" s="56">
        <f>+'COSTO POR DEMANDAS'!H25</f>
        <v>21929400</v>
      </c>
      <c r="I4" s="56">
        <f>+H4</f>
        <v>21929400</v>
      </c>
    </row>
    <row r="5" spans="1:9" x14ac:dyDescent="0.25">
      <c r="A5" s="27"/>
      <c r="B5" s="27"/>
      <c r="D5" s="27">
        <v>20</v>
      </c>
      <c r="G5" s="52">
        <v>2</v>
      </c>
      <c r="H5" s="56">
        <f>+H4+(H4*$I$1)</f>
        <v>22835522.807999998</v>
      </c>
      <c r="I5" s="56">
        <f t="shared" ref="I5:I64" si="0">+I4+H5</f>
        <v>44764922.807999998</v>
      </c>
    </row>
    <row r="6" spans="1:9" x14ac:dyDescent="0.25">
      <c r="A6" s="57" t="s">
        <v>137</v>
      </c>
      <c r="D6" s="27">
        <v>21</v>
      </c>
      <c r="G6" s="52">
        <v>3</v>
      </c>
      <c r="H6" s="56">
        <f t="shared" ref="H6:H64" si="1">+H5+(H5*$I$1)</f>
        <v>23779086.61042656</v>
      </c>
      <c r="I6" s="56">
        <f t="shared" si="0"/>
        <v>68544009.418426558</v>
      </c>
    </row>
    <row r="7" spans="1:9" x14ac:dyDescent="0.25">
      <c r="D7" s="27">
        <v>22</v>
      </c>
      <c r="G7" s="52">
        <v>4</v>
      </c>
      <c r="H7" s="56">
        <f t="shared" si="1"/>
        <v>24761638.469169386</v>
      </c>
      <c r="I7" s="56">
        <f t="shared" si="0"/>
        <v>93305647.887595952</v>
      </c>
    </row>
    <row r="8" spans="1:9" x14ac:dyDescent="0.25">
      <c r="D8" s="27">
        <v>23</v>
      </c>
      <c r="G8" s="52">
        <v>5</v>
      </c>
      <c r="H8" s="56">
        <f t="shared" si="1"/>
        <v>25784789.370715465</v>
      </c>
      <c r="I8" s="56">
        <f t="shared" si="0"/>
        <v>119090437.25831142</v>
      </c>
    </row>
    <row r="9" spans="1:9" x14ac:dyDescent="0.25">
      <c r="D9" s="27">
        <v>24</v>
      </c>
      <c r="G9" s="52">
        <v>6</v>
      </c>
      <c r="H9" s="56">
        <f t="shared" si="1"/>
        <v>26850216.867513429</v>
      </c>
      <c r="I9" s="56">
        <f t="shared" si="0"/>
        <v>145940654.12582484</v>
      </c>
    </row>
    <row r="10" spans="1:9" x14ac:dyDescent="0.25">
      <c r="D10" s="27">
        <v>25</v>
      </c>
      <c r="G10" s="52">
        <v>7</v>
      </c>
      <c r="H10" s="56">
        <f t="shared" si="1"/>
        <v>27959667.828479085</v>
      </c>
      <c r="I10" s="56">
        <f t="shared" si="0"/>
        <v>173900321.95430392</v>
      </c>
    </row>
    <row r="11" spans="1:9" x14ac:dyDescent="0.25">
      <c r="D11" s="27">
        <v>26</v>
      </c>
      <c r="G11" s="52">
        <v>8</v>
      </c>
      <c r="H11" s="56">
        <f t="shared" si="1"/>
        <v>29114961.303151842</v>
      </c>
      <c r="I11" s="56">
        <f t="shared" si="0"/>
        <v>203015283.25745577</v>
      </c>
    </row>
    <row r="12" spans="1:9" x14ac:dyDescent="0.25">
      <c r="D12" s="27">
        <v>27</v>
      </c>
      <c r="G12" s="52">
        <v>9</v>
      </c>
      <c r="H12" s="56">
        <f t="shared" si="1"/>
        <v>30317991.504198078</v>
      </c>
      <c r="I12" s="56">
        <f t="shared" si="0"/>
        <v>233333274.76165384</v>
      </c>
    </row>
    <row r="13" spans="1:9" x14ac:dyDescent="0.25">
      <c r="D13" s="27">
        <v>28</v>
      </c>
      <c r="G13" s="52">
        <v>10</v>
      </c>
      <c r="H13" s="56">
        <f t="shared" si="1"/>
        <v>31570730.913151544</v>
      </c>
      <c r="I13" s="56">
        <f t="shared" si="0"/>
        <v>264904005.67480537</v>
      </c>
    </row>
    <row r="14" spans="1:9" x14ac:dyDescent="0.25">
      <c r="D14" s="27">
        <v>29</v>
      </c>
      <c r="G14" s="52">
        <v>11</v>
      </c>
      <c r="H14" s="56">
        <f t="shared" si="1"/>
        <v>32875233.514482964</v>
      </c>
      <c r="I14" s="56">
        <f t="shared" si="0"/>
        <v>297779239.18928832</v>
      </c>
    </row>
    <row r="15" spans="1:9" x14ac:dyDescent="0.25">
      <c r="D15" s="27">
        <v>30</v>
      </c>
      <c r="G15" s="52">
        <v>12</v>
      </c>
      <c r="H15" s="56">
        <f t="shared" si="1"/>
        <v>34233638.163301401</v>
      </c>
      <c r="I15" s="56">
        <f t="shared" si="0"/>
        <v>332012877.35258973</v>
      </c>
    </row>
    <row r="16" spans="1:9" x14ac:dyDescent="0.25">
      <c r="D16" s="27">
        <v>31</v>
      </c>
      <c r="G16" s="52">
        <v>13</v>
      </c>
      <c r="H16" s="56">
        <f t="shared" si="1"/>
        <v>35648172.092209011</v>
      </c>
      <c r="I16" s="56">
        <f t="shared" si="0"/>
        <v>367661049.44479871</v>
      </c>
    </row>
    <row r="17" spans="4:9" x14ac:dyDescent="0.25">
      <c r="D17" s="27">
        <v>32</v>
      </c>
      <c r="G17" s="52">
        <v>14</v>
      </c>
      <c r="H17" s="56">
        <f t="shared" si="1"/>
        <v>37121154.563059092</v>
      </c>
      <c r="I17" s="56">
        <f t="shared" si="0"/>
        <v>404782204.0078578</v>
      </c>
    </row>
    <row r="18" spans="4:9" x14ac:dyDescent="0.25">
      <c r="D18" s="27">
        <v>33</v>
      </c>
      <c r="G18" s="52">
        <v>15</v>
      </c>
      <c r="H18" s="56">
        <f t="shared" si="1"/>
        <v>38655000.669604696</v>
      </c>
      <c r="I18" s="56">
        <f t="shared" si="0"/>
        <v>443437204.67746252</v>
      </c>
    </row>
    <row r="19" spans="4:9" x14ac:dyDescent="0.25">
      <c r="D19" s="27">
        <v>34</v>
      </c>
      <c r="G19" s="52">
        <v>16</v>
      </c>
      <c r="H19" s="56">
        <f t="shared" si="1"/>
        <v>40252225.297272764</v>
      </c>
      <c r="I19" s="56">
        <f t="shared" si="0"/>
        <v>483689429.97473526</v>
      </c>
    </row>
    <row r="20" spans="4:9" x14ac:dyDescent="0.25">
      <c r="D20" s="27">
        <v>35</v>
      </c>
      <c r="G20" s="52">
        <v>17</v>
      </c>
      <c r="H20" s="56">
        <f t="shared" si="1"/>
        <v>41915447.246556073</v>
      </c>
      <c r="I20" s="56">
        <f t="shared" si="0"/>
        <v>525604877.2212913</v>
      </c>
    </row>
    <row r="21" spans="4:9" x14ac:dyDescent="0.25">
      <c r="D21" s="27">
        <v>36</v>
      </c>
      <c r="G21" s="52">
        <v>18</v>
      </c>
      <c r="H21" s="56">
        <f t="shared" si="1"/>
        <v>43647393.526783772</v>
      </c>
      <c r="I21" s="56">
        <f t="shared" si="0"/>
        <v>569252270.74807513</v>
      </c>
    </row>
    <row r="22" spans="4:9" x14ac:dyDescent="0.25">
      <c r="D22" s="27">
        <v>37</v>
      </c>
      <c r="G22" s="52">
        <v>19</v>
      </c>
      <c r="H22" s="56">
        <f t="shared" si="1"/>
        <v>45450903.82731048</v>
      </c>
      <c r="I22" s="56">
        <f t="shared" si="0"/>
        <v>614703174.57538557</v>
      </c>
    </row>
    <row r="23" spans="4:9" x14ac:dyDescent="0.25">
      <c r="D23" s="27">
        <v>38</v>
      </c>
      <c r="G23" s="52">
        <v>20</v>
      </c>
      <c r="H23" s="56">
        <f t="shared" si="1"/>
        <v>47328935.173454948</v>
      </c>
      <c r="I23" s="56">
        <f t="shared" si="0"/>
        <v>662032109.74884057</v>
      </c>
    </row>
    <row r="24" spans="4:9" x14ac:dyDescent="0.25">
      <c r="D24" s="27">
        <v>39</v>
      </c>
      <c r="G24" s="52">
        <v>21</v>
      </c>
      <c r="H24" s="56">
        <f t="shared" si="1"/>
        <v>49284566.774822108</v>
      </c>
      <c r="I24" s="56">
        <f t="shared" si="0"/>
        <v>711316676.52366269</v>
      </c>
    </row>
    <row r="25" spans="4:9" x14ac:dyDescent="0.25">
      <c r="D25" s="27">
        <v>40</v>
      </c>
      <c r="G25" s="52">
        <v>22</v>
      </c>
      <c r="H25" s="56">
        <f t="shared" si="1"/>
        <v>51321005.073957756</v>
      </c>
      <c r="I25" s="56">
        <f t="shared" si="0"/>
        <v>762637681.59762049</v>
      </c>
    </row>
    <row r="26" spans="4:9" x14ac:dyDescent="0.25">
      <c r="D26" s="27">
        <v>41</v>
      </c>
      <c r="G26" s="52">
        <v>23</v>
      </c>
      <c r="H26" s="56">
        <f t="shared" si="1"/>
        <v>53441589.003613688</v>
      </c>
      <c r="I26" s="56">
        <f t="shared" si="0"/>
        <v>816079270.6012342</v>
      </c>
    </row>
    <row r="27" spans="4:9" x14ac:dyDescent="0.25">
      <c r="D27" s="27">
        <v>42</v>
      </c>
      <c r="G27" s="52">
        <v>24</v>
      </c>
      <c r="H27" s="56">
        <f t="shared" si="1"/>
        <v>55649795.461243004</v>
      </c>
      <c r="I27" s="56">
        <f t="shared" si="0"/>
        <v>871729066.06247723</v>
      </c>
    </row>
    <row r="28" spans="4:9" x14ac:dyDescent="0.25">
      <c r="D28" s="27">
        <v>43</v>
      </c>
      <c r="G28" s="52">
        <v>25</v>
      </c>
      <c r="H28" s="56">
        <f t="shared" si="1"/>
        <v>57949245.009701565</v>
      </c>
      <c r="I28" s="56">
        <f t="shared" si="0"/>
        <v>929678311.07217884</v>
      </c>
    </row>
    <row r="29" spans="4:9" x14ac:dyDescent="0.25">
      <c r="D29" s="27">
        <v>44</v>
      </c>
      <c r="G29" s="52">
        <v>26</v>
      </c>
      <c r="H29" s="56">
        <f t="shared" si="1"/>
        <v>60343707.813502431</v>
      </c>
      <c r="I29" s="56">
        <f t="shared" si="0"/>
        <v>990022018.88568127</v>
      </c>
    </row>
    <row r="30" spans="4:9" x14ac:dyDescent="0.25">
      <c r="D30" s="27">
        <v>45</v>
      </c>
      <c r="G30" s="52">
        <v>27</v>
      </c>
      <c r="H30" s="56">
        <f t="shared" si="1"/>
        <v>62837109.820356354</v>
      </c>
      <c r="I30" s="56">
        <f t="shared" si="0"/>
        <v>1052859128.7060376</v>
      </c>
    </row>
    <row r="31" spans="4:9" x14ac:dyDescent="0.25">
      <c r="D31" s="27">
        <v>46</v>
      </c>
      <c r="G31" s="52">
        <v>28</v>
      </c>
      <c r="H31" s="56">
        <f t="shared" si="1"/>
        <v>65433539.198133476</v>
      </c>
      <c r="I31" s="56">
        <f t="shared" si="0"/>
        <v>1118292667.9041712</v>
      </c>
    </row>
    <row r="32" spans="4:9" x14ac:dyDescent="0.25">
      <c r="D32" s="27">
        <v>47</v>
      </c>
      <c r="G32" s="52">
        <v>29</v>
      </c>
      <c r="H32" s="56">
        <f t="shared" si="1"/>
        <v>68137253.037800357</v>
      </c>
      <c r="I32" s="56">
        <f t="shared" si="0"/>
        <v>1186429920.9419715</v>
      </c>
    </row>
    <row r="33" spans="4:9" x14ac:dyDescent="0.25">
      <c r="D33" s="27">
        <v>48</v>
      </c>
      <c r="G33" s="52">
        <v>30</v>
      </c>
      <c r="H33" s="56">
        <f t="shared" si="1"/>
        <v>70952684.333322272</v>
      </c>
      <c r="I33" s="56">
        <f t="shared" si="0"/>
        <v>1257382605.2752938</v>
      </c>
    </row>
    <row r="34" spans="4:9" x14ac:dyDescent="0.25">
      <c r="D34" s="27">
        <v>49</v>
      </c>
      <c r="G34" s="52">
        <v>31</v>
      </c>
      <c r="H34" s="56">
        <f t="shared" si="1"/>
        <v>73884449.249975145</v>
      </c>
      <c r="I34" s="56">
        <f t="shared" si="0"/>
        <v>1331267054.525269</v>
      </c>
    </row>
    <row r="35" spans="4:9" x14ac:dyDescent="0.25">
      <c r="D35" s="27">
        <v>50</v>
      </c>
      <c r="G35" s="52">
        <v>32</v>
      </c>
      <c r="H35" s="56">
        <f t="shared" si="1"/>
        <v>76937354.692984119</v>
      </c>
      <c r="I35" s="56">
        <f t="shared" si="0"/>
        <v>1408204409.2182531</v>
      </c>
    </row>
    <row r="36" spans="4:9" x14ac:dyDescent="0.25">
      <c r="D36" s="27">
        <v>51</v>
      </c>
      <c r="G36" s="52">
        <v>33</v>
      </c>
      <c r="H36" s="56">
        <f t="shared" si="1"/>
        <v>80116406.188898221</v>
      </c>
      <c r="I36" s="56">
        <f t="shared" si="0"/>
        <v>1488320815.4071515</v>
      </c>
    </row>
    <row r="37" spans="4:9" x14ac:dyDescent="0.25">
      <c r="D37" s="27">
        <v>52</v>
      </c>
      <c r="G37" s="52">
        <v>34</v>
      </c>
      <c r="H37" s="56">
        <f t="shared" si="1"/>
        <v>83426816.092623502</v>
      </c>
      <c r="I37" s="56">
        <f t="shared" si="0"/>
        <v>1571747631.4997749</v>
      </c>
    </row>
    <row r="38" spans="4:9" x14ac:dyDescent="0.25">
      <c r="D38" s="27">
        <v>53</v>
      </c>
      <c r="G38" s="52">
        <v>35</v>
      </c>
      <c r="H38" s="56">
        <f t="shared" si="1"/>
        <v>86874012.133570701</v>
      </c>
      <c r="I38" s="56">
        <f t="shared" si="0"/>
        <v>1658621643.6333456</v>
      </c>
    </row>
    <row r="39" spans="4:9" x14ac:dyDescent="0.25">
      <c r="D39" s="27">
        <v>54</v>
      </c>
      <c r="G39" s="52">
        <v>36</v>
      </c>
      <c r="H39" s="56">
        <f t="shared" si="1"/>
        <v>90463646.314929843</v>
      </c>
      <c r="I39" s="56">
        <f t="shared" si="0"/>
        <v>1749085289.9482756</v>
      </c>
    </row>
    <row r="40" spans="4:9" x14ac:dyDescent="0.25">
      <c r="D40" s="27">
        <v>55</v>
      </c>
      <c r="G40" s="52">
        <v>37</v>
      </c>
      <c r="H40" s="56">
        <f t="shared" si="1"/>
        <v>94201604.180662751</v>
      </c>
      <c r="I40" s="56">
        <f t="shared" si="0"/>
        <v>1843286894.1289382</v>
      </c>
    </row>
    <row r="41" spans="4:9" x14ac:dyDescent="0.25">
      <c r="D41" s="27">
        <v>56</v>
      </c>
      <c r="G41" s="52">
        <v>38</v>
      </c>
      <c r="H41" s="56">
        <f t="shared" si="1"/>
        <v>98094014.465407729</v>
      </c>
      <c r="I41" s="56">
        <f t="shared" si="0"/>
        <v>1941380908.594346</v>
      </c>
    </row>
    <row r="42" spans="4:9" x14ac:dyDescent="0.25">
      <c r="D42" s="27">
        <v>57</v>
      </c>
      <c r="G42" s="52">
        <v>39</v>
      </c>
      <c r="H42" s="56">
        <f t="shared" si="1"/>
        <v>102147259.14311838</v>
      </c>
      <c r="I42" s="56">
        <f t="shared" si="0"/>
        <v>2043528167.7374644</v>
      </c>
    </row>
    <row r="43" spans="4:9" x14ac:dyDescent="0.25">
      <c r="D43" s="27">
        <v>58</v>
      </c>
      <c r="G43" s="52">
        <v>40</v>
      </c>
      <c r="H43" s="56">
        <f t="shared" si="1"/>
        <v>106367983.89091203</v>
      </c>
      <c r="I43" s="56">
        <f t="shared" si="0"/>
        <v>2149896151.6283765</v>
      </c>
    </row>
    <row r="44" spans="4:9" x14ac:dyDescent="0.25">
      <c r="D44" s="27">
        <v>59</v>
      </c>
      <c r="G44" s="52">
        <v>41</v>
      </c>
      <c r="H44" s="56">
        <f t="shared" si="1"/>
        <v>110763108.98528451</v>
      </c>
      <c r="I44" s="56">
        <f t="shared" si="0"/>
        <v>2260659260.6136608</v>
      </c>
    </row>
    <row r="45" spans="4:9" x14ac:dyDescent="0.25">
      <c r="D45" s="27">
        <v>60</v>
      </c>
      <c r="G45" s="52">
        <v>42</v>
      </c>
      <c r="H45" s="56">
        <f t="shared" si="1"/>
        <v>115339840.64855647</v>
      </c>
      <c r="I45" s="56">
        <f t="shared" si="0"/>
        <v>2375999101.2622175</v>
      </c>
    </row>
    <row r="46" spans="4:9" x14ac:dyDescent="0.25">
      <c r="D46" s="27">
        <v>61</v>
      </c>
      <c r="G46" s="52">
        <v>43</v>
      </c>
      <c r="H46" s="56">
        <f t="shared" si="1"/>
        <v>120105682.86415483</v>
      </c>
      <c r="I46" s="56">
        <f t="shared" si="0"/>
        <v>2496104784.1263723</v>
      </c>
    </row>
    <row r="47" spans="4:9" x14ac:dyDescent="0.25">
      <c r="D47" s="27">
        <v>62</v>
      </c>
      <c r="G47" s="52">
        <v>44</v>
      </c>
      <c r="H47" s="56">
        <f t="shared" si="1"/>
        <v>125068449.68010171</v>
      </c>
      <c r="I47" s="56">
        <f t="shared" si="0"/>
        <v>2621173233.8064742</v>
      </c>
    </row>
    <row r="48" spans="4:9" x14ac:dyDescent="0.25">
      <c r="D48" s="27">
        <v>63</v>
      </c>
      <c r="G48" s="52">
        <v>45</v>
      </c>
      <c r="H48" s="56">
        <f t="shared" si="1"/>
        <v>130236278.02088352</v>
      </c>
      <c r="I48" s="56">
        <f t="shared" si="0"/>
        <v>2751409511.8273578</v>
      </c>
    </row>
    <row r="49" spans="4:9" x14ac:dyDescent="0.25">
      <c r="D49" s="27">
        <v>64</v>
      </c>
      <c r="G49" s="52">
        <v>46</v>
      </c>
      <c r="H49" s="56">
        <f t="shared" si="1"/>
        <v>135617641.02870643</v>
      </c>
      <c r="I49" s="56">
        <f t="shared" si="0"/>
        <v>2887027152.8560643</v>
      </c>
    </row>
    <row r="50" spans="4:9" x14ac:dyDescent="0.25">
      <c r="D50" s="27">
        <v>65</v>
      </c>
      <c r="G50" s="52">
        <v>47</v>
      </c>
      <c r="H50" s="56">
        <f t="shared" si="1"/>
        <v>141221361.95601258</v>
      </c>
      <c r="I50" s="56">
        <f t="shared" si="0"/>
        <v>3028248514.812077</v>
      </c>
    </row>
    <row r="51" spans="4:9" x14ac:dyDescent="0.25">
      <c r="D51" s="27">
        <v>66</v>
      </c>
      <c r="G51" s="52">
        <v>48</v>
      </c>
      <c r="H51" s="56">
        <f t="shared" si="1"/>
        <v>147056628.63203502</v>
      </c>
      <c r="I51" s="56">
        <f t="shared" si="0"/>
        <v>3175305143.4441118</v>
      </c>
    </row>
    <row r="52" spans="4:9" x14ac:dyDescent="0.25">
      <c r="D52" s="27">
        <v>67</v>
      </c>
      <c r="G52" s="52">
        <v>49</v>
      </c>
      <c r="H52" s="56">
        <f t="shared" si="1"/>
        <v>153133008.5271107</v>
      </c>
      <c r="I52" s="56">
        <f t="shared" si="0"/>
        <v>3328438151.9712224</v>
      </c>
    </row>
    <row r="53" spans="4:9" x14ac:dyDescent="0.25">
      <c r="D53" s="27">
        <v>68</v>
      </c>
      <c r="G53" s="52">
        <v>50</v>
      </c>
      <c r="H53" s="56">
        <f t="shared" si="1"/>
        <v>159460464.43945092</v>
      </c>
      <c r="I53" s="56">
        <f t="shared" si="0"/>
        <v>3487898616.4106731</v>
      </c>
    </row>
    <row r="54" spans="4:9" x14ac:dyDescent="0.25">
      <c r="D54" s="27">
        <v>69</v>
      </c>
      <c r="G54" s="52">
        <v>51</v>
      </c>
      <c r="H54" s="56">
        <f t="shared" si="1"/>
        <v>166049370.83008903</v>
      </c>
      <c r="I54" s="56">
        <f t="shared" si="0"/>
        <v>3653947987.2407622</v>
      </c>
    </row>
    <row r="55" spans="4:9" x14ac:dyDescent="0.25">
      <c r="D55" s="27">
        <v>70</v>
      </c>
      <c r="G55" s="52">
        <v>52</v>
      </c>
      <c r="H55" s="56">
        <f t="shared" si="1"/>
        <v>172910530.83278832</v>
      </c>
      <c r="I55" s="56">
        <f t="shared" si="0"/>
        <v>3826858518.0735507</v>
      </c>
    </row>
    <row r="56" spans="4:9" x14ac:dyDescent="0.25">
      <c r="D56" s="27">
        <v>71</v>
      </c>
      <c r="G56" s="52">
        <v>53</v>
      </c>
      <c r="H56" s="56">
        <f t="shared" si="1"/>
        <v>180055193.96679914</v>
      </c>
      <c r="I56" s="56">
        <f t="shared" si="0"/>
        <v>4006913712.04035</v>
      </c>
    </row>
    <row r="57" spans="4:9" x14ac:dyDescent="0.25">
      <c r="D57" s="27">
        <v>72</v>
      </c>
      <c r="G57" s="52">
        <v>54</v>
      </c>
      <c r="H57" s="56">
        <f t="shared" si="1"/>
        <v>187495074.58150727</v>
      </c>
      <c r="I57" s="56">
        <f t="shared" si="0"/>
        <v>4194408786.6218572</v>
      </c>
    </row>
    <row r="58" spans="4:9" x14ac:dyDescent="0.25">
      <c r="D58" s="27">
        <v>73</v>
      </c>
      <c r="G58" s="52">
        <v>55</v>
      </c>
      <c r="H58" s="56">
        <f t="shared" si="1"/>
        <v>195242371.06321514</v>
      </c>
      <c r="I58" s="56">
        <f t="shared" si="0"/>
        <v>4389651157.6850719</v>
      </c>
    </row>
    <row r="59" spans="4:9" x14ac:dyDescent="0.25">
      <c r="D59" s="27">
        <v>74</v>
      </c>
      <c r="G59" s="52">
        <v>56</v>
      </c>
      <c r="H59" s="56">
        <f t="shared" si="1"/>
        <v>203309785.83554718</v>
      </c>
      <c r="I59" s="56">
        <f t="shared" si="0"/>
        <v>4592960943.5206194</v>
      </c>
    </row>
    <row r="60" spans="4:9" x14ac:dyDescent="0.25">
      <c r="G60" s="52">
        <v>57</v>
      </c>
      <c r="H60" s="56">
        <f t="shared" si="1"/>
        <v>211710546.186272</v>
      </c>
      <c r="I60" s="56">
        <f t="shared" si="0"/>
        <v>4804671489.7068911</v>
      </c>
    </row>
    <row r="61" spans="4:9" x14ac:dyDescent="0.25">
      <c r="G61" s="52">
        <v>58</v>
      </c>
      <c r="H61" s="56">
        <f t="shared" si="1"/>
        <v>220458425.95468876</v>
      </c>
      <c r="I61" s="56">
        <f t="shared" si="0"/>
        <v>5025129915.6615801</v>
      </c>
    </row>
    <row r="62" spans="4:9" x14ac:dyDescent="0.25">
      <c r="G62" s="52">
        <v>59</v>
      </c>
      <c r="H62" s="56">
        <f t="shared" si="1"/>
        <v>229567768.1151365</v>
      </c>
      <c r="I62" s="56">
        <f t="shared" si="0"/>
        <v>5254697683.7767162</v>
      </c>
    </row>
    <row r="63" spans="4:9" x14ac:dyDescent="0.25">
      <c r="G63" s="52">
        <v>60</v>
      </c>
      <c r="H63" s="56">
        <f t="shared" si="1"/>
        <v>239053508.29365394</v>
      </c>
      <c r="I63" s="56">
        <f t="shared" si="0"/>
        <v>5493751192.0703697</v>
      </c>
    </row>
    <row r="64" spans="4:9" x14ac:dyDescent="0.25">
      <c r="G64" s="52">
        <v>61</v>
      </c>
      <c r="H64" s="56">
        <f t="shared" si="1"/>
        <v>248931199.25634772</v>
      </c>
      <c r="I64" s="56">
        <f t="shared" si="0"/>
        <v>5742682391.3267174</v>
      </c>
    </row>
    <row r="68" spans="1:6" x14ac:dyDescent="0.25">
      <c r="A68" s="48" t="s">
        <v>108</v>
      </c>
      <c r="B68" s="44">
        <v>781242</v>
      </c>
    </row>
    <row r="70" spans="1:6" x14ac:dyDescent="0.25">
      <c r="A70" s="415" t="s">
        <v>109</v>
      </c>
      <c r="B70" s="416"/>
      <c r="C70" s="416"/>
      <c r="D70" s="416"/>
      <c r="E70" s="416"/>
      <c r="F70" s="416"/>
    </row>
    <row r="71" spans="1:6" x14ac:dyDescent="0.25">
      <c r="A71" s="438" t="s">
        <v>217</v>
      </c>
      <c r="B71" s="439"/>
      <c r="C71" s="419" t="s">
        <v>112</v>
      </c>
      <c r="D71" s="420"/>
      <c r="E71" s="419" t="s">
        <v>113</v>
      </c>
      <c r="F71" s="420"/>
    </row>
    <row r="72" spans="1:6" x14ac:dyDescent="0.25">
      <c r="A72" s="440"/>
      <c r="B72" s="441"/>
      <c r="C72" s="49" t="s">
        <v>114</v>
      </c>
      <c r="D72" s="49" t="s">
        <v>115</v>
      </c>
      <c r="E72" s="49" t="s">
        <v>116</v>
      </c>
      <c r="F72" s="49" t="s">
        <v>115</v>
      </c>
    </row>
    <row r="73" spans="1:6" x14ac:dyDescent="0.25">
      <c r="A73" s="413" t="s">
        <v>124</v>
      </c>
      <c r="B73" s="436"/>
      <c r="C73" s="45">
        <v>100</v>
      </c>
      <c r="D73" s="45">
        <v>1000</v>
      </c>
      <c r="E73" s="47">
        <f>C73*B68</f>
        <v>78124200</v>
      </c>
      <c r="F73" s="47">
        <f>D73*B68</f>
        <v>781242000</v>
      </c>
    </row>
  </sheetData>
  <mergeCells count="6">
    <mergeCell ref="A73:B73"/>
    <mergeCell ref="G1:H2"/>
    <mergeCell ref="A70:F70"/>
    <mergeCell ref="C71:D71"/>
    <mergeCell ref="E71:F71"/>
    <mergeCell ref="A71:B72"/>
  </mergeCells>
  <hyperlinks>
    <hyperlink ref="A6"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16</vt:i4>
      </vt:variant>
    </vt:vector>
  </HeadingPairs>
  <TitlesOfParts>
    <vt:vector size="25" baseType="lpstr">
      <vt:lpstr>COSTOS POR ATEL</vt:lpstr>
      <vt:lpstr>RENDIMIENTOS Y TARIFAS</vt:lpstr>
      <vt:lpstr>COSTOS POR PESV</vt:lpstr>
      <vt:lpstr>DATOS PESV</vt:lpstr>
      <vt:lpstr>Anexo</vt:lpstr>
      <vt:lpstr>COSTO POR INCUMPLIMIENTO LEGAL</vt:lpstr>
      <vt:lpstr>DATOS INCUM</vt:lpstr>
      <vt:lpstr>COSTO POR DEMANDAS</vt:lpstr>
      <vt:lpstr>DATOS DEMANDAS</vt:lpstr>
      <vt:lpstr>'COSTO POR DEMANDAS'!Área_de_impresión</vt:lpstr>
      <vt:lpstr>'COSTO POR INCUMPLIMIENTO LEGAL'!Área_de_impresión</vt:lpstr>
      <vt:lpstr>'COSTOS POR PESV'!Área_de_impresión</vt:lpstr>
      <vt:lpstr>AYUDANTE</vt:lpstr>
      <vt:lpstr>BENITIN</vt:lpstr>
      <vt:lpstr>FINISHER</vt:lpstr>
      <vt:lpstr>FRESADORA</vt:lpstr>
      <vt:lpstr>IRRIGADOR</vt:lpstr>
      <vt:lpstr>LLANTAS</vt:lpstr>
      <vt:lpstr>MAESTRO</vt:lpstr>
      <vt:lpstr>MINI</vt:lpstr>
      <vt:lpstr>MOTO</vt:lpstr>
      <vt:lpstr>OFICIAL</vt:lpstr>
      <vt:lpstr>PAJARITA</vt:lpstr>
      <vt:lpstr>VIBRO</vt:lpstr>
      <vt:lpstr>VOLQUETA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Licitaciones</dc:creator>
  <cp:lastModifiedBy>Juan Sebastian Estanislao Sanchez</cp:lastModifiedBy>
  <cp:lastPrinted>2018-02-19T15:54:06Z</cp:lastPrinted>
  <dcterms:created xsi:type="dcterms:W3CDTF">2018-02-19T13:50:55Z</dcterms:created>
  <dcterms:modified xsi:type="dcterms:W3CDTF">2018-04-06T19:25:25Z</dcterms:modified>
</cp:coreProperties>
</file>