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E\Documents\MAE\ESPECILIZACION-2012\TESIS\CD\ANEXOS CUADROS EXCEL EN MEDIO MAGNETICO\"/>
    </mc:Choice>
  </mc:AlternateContent>
  <bookViews>
    <workbookView xWindow="240" yWindow="30" windowWidth="8070" windowHeight="8160" tabRatio="757"/>
  </bookViews>
  <sheets>
    <sheet name="LOGIKA AN-1" sheetId="2" r:id="rId1"/>
    <sheet name="LOGIKA AN-2" sheetId="10" r:id="rId2"/>
    <sheet name="LOGIKA AN-3" sheetId="11" r:id="rId3"/>
    <sheet name="LOGIKA AN-4" sheetId="12" r:id="rId4"/>
    <sheet name="$ alcantarillado" sheetId="3" r:id="rId5"/>
    <sheet name="Relaciones" sheetId="4" r:id="rId6"/>
    <sheet name="Eficiencias" sheetId="9" r:id="rId7"/>
  </sheets>
  <functionGroups builtInGroupCount="18"/>
  <externalReferences>
    <externalReference r:id="rId8"/>
  </externalReferences>
  <definedNames>
    <definedName name="_xlnm.Print_Area" localSheetId="4">'$ alcantarillado'!$A$1:$Q$38</definedName>
    <definedName name="_xlnm.Print_Area" localSheetId="0">'LOGIKA AN-1'!$A$15:$AS$201</definedName>
    <definedName name="_xlnm.Print_Area" localSheetId="1">'LOGIKA AN-2'!$A$16:$AS$201</definedName>
    <definedName name="_xlnm.Print_Area" localSheetId="2">'LOGIKA AN-3'!$A$16:$AS$201</definedName>
    <definedName name="_xlnm.Print_Area" localSheetId="3">'LOGIKA AN-4'!$A$16:$AS$201</definedName>
    <definedName name="solver_adj" localSheetId="4" hidden="1">'$ alcantarillado'!#REF!</definedName>
    <definedName name="solver_adj" localSheetId="0" hidden="1">'LOGIKA AN-1'!#REF!</definedName>
    <definedName name="solver_adj" localSheetId="1" hidden="1">'LOGIKA AN-2'!#REF!</definedName>
    <definedName name="solver_adj" localSheetId="2" hidden="1">'LOGIKA AN-3'!#REF!</definedName>
    <definedName name="solver_adj" localSheetId="3" hidden="1">'LOGIKA AN-4'!#REF!</definedName>
    <definedName name="solver_cvg" localSheetId="4" hidden="1">0.0001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drv" localSheetId="4" hidden="1">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est" localSheetId="4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itr" localSheetId="4" hidden="1">100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itr" localSheetId="3" hidden="1">100</definedName>
    <definedName name="solver_lhs1" localSheetId="4" hidden="1">'$ alcantarillado'!#REF!</definedName>
    <definedName name="solver_lhs1" localSheetId="0" hidden="1">'LOGIKA AN-1'!#REF!</definedName>
    <definedName name="solver_lhs1" localSheetId="1" hidden="1">'LOGIKA AN-2'!#REF!</definedName>
    <definedName name="solver_lhs1" localSheetId="2" hidden="1">'LOGIKA AN-3'!#REF!</definedName>
    <definedName name="solver_lhs1" localSheetId="3" hidden="1">'LOGIKA AN-4'!#REF!</definedName>
    <definedName name="solver_lhs2" localSheetId="4" hidden="1">'$ alcantarillado'!#REF!</definedName>
    <definedName name="solver_lhs2" localSheetId="0" hidden="1">'LOGIKA AN-1'!#REF!</definedName>
    <definedName name="solver_lhs2" localSheetId="1" hidden="1">'LOGIKA AN-2'!#REF!</definedName>
    <definedName name="solver_lhs2" localSheetId="2" hidden="1">'LOGIKA AN-3'!#REF!</definedName>
    <definedName name="solver_lhs2" localSheetId="3" hidden="1">'LOGIKA AN-4'!#REF!</definedName>
    <definedName name="solver_lhs3" localSheetId="4" hidden="1">'$ alcantarillado'!#REF!</definedName>
    <definedName name="solver_lhs3" localSheetId="0" hidden="1">'LOGIKA AN-1'!#REF!</definedName>
    <definedName name="solver_lhs3" localSheetId="1" hidden="1">'LOGIKA AN-2'!#REF!</definedName>
    <definedName name="solver_lhs3" localSheetId="2" hidden="1">'LOGIKA AN-3'!#REF!</definedName>
    <definedName name="solver_lhs3" localSheetId="3" hidden="1">'LOGIKA AN-4'!#REF!</definedName>
    <definedName name="solver_lhs4" localSheetId="4" hidden="1">'$ alcantarillado'!#REF!</definedName>
    <definedName name="solver_lhs4" localSheetId="0" hidden="1">'LOGIKA AN-1'!#REF!</definedName>
    <definedName name="solver_lhs4" localSheetId="1" hidden="1">'LOGIKA AN-2'!#REF!</definedName>
    <definedName name="solver_lhs4" localSheetId="2" hidden="1">'LOGIKA AN-3'!#REF!</definedName>
    <definedName name="solver_lhs4" localSheetId="3" hidden="1">'LOGIKA AN-4'!#REF!</definedName>
    <definedName name="solver_lin" localSheetId="4" hidden="1">2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lin" localSheetId="3" hidden="1">2</definedName>
    <definedName name="solver_neg" localSheetId="4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3" hidden="1">2</definedName>
    <definedName name="solver_num" localSheetId="4" hidden="1">0</definedName>
    <definedName name="solver_num" localSheetId="0" hidden="1">3</definedName>
    <definedName name="solver_num" localSheetId="1" hidden="1">3</definedName>
    <definedName name="solver_num" localSheetId="2" hidden="1">3</definedName>
    <definedName name="solver_num" localSheetId="3" hidden="1">3</definedName>
    <definedName name="solver_nwt" localSheetId="4" hidden="1">1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opt" localSheetId="4" hidden="1">'$ alcantarillado'!#REF!</definedName>
    <definedName name="solver_opt" localSheetId="0" hidden="1">'LOGIKA AN-1'!#REF!</definedName>
    <definedName name="solver_opt" localSheetId="1" hidden="1">'LOGIKA AN-2'!#REF!</definedName>
    <definedName name="solver_opt" localSheetId="2" hidden="1">'LOGIKA AN-3'!#REF!</definedName>
    <definedName name="solver_opt" localSheetId="3" hidden="1">'LOGIKA AN-4'!#REF!</definedName>
    <definedName name="solver_pre" localSheetId="4" hidden="1">0.000001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rel1" localSheetId="4" hidden="1">1</definedName>
    <definedName name="solver_rel1" localSheetId="0" hidden="1">4</definedName>
    <definedName name="solver_rel1" localSheetId="1" hidden="1">4</definedName>
    <definedName name="solver_rel1" localSheetId="2" hidden="1">4</definedName>
    <definedName name="solver_rel1" localSheetId="3" hidden="1">4</definedName>
    <definedName name="solver_rel2" localSheetId="4" hidden="1">3</definedName>
    <definedName name="solver_rel2" localSheetId="0" hidden="1">1</definedName>
    <definedName name="solver_rel2" localSheetId="1" hidden="1">1</definedName>
    <definedName name="solver_rel2" localSheetId="2" hidden="1">1</definedName>
    <definedName name="solver_rel2" localSheetId="3" hidden="1">1</definedName>
    <definedName name="solver_rel3" localSheetId="4" hidden="1">3</definedName>
    <definedName name="solver_rel3" localSheetId="0" hidden="1">3</definedName>
    <definedName name="solver_rel3" localSheetId="1" hidden="1">3</definedName>
    <definedName name="solver_rel3" localSheetId="2" hidden="1">3</definedName>
    <definedName name="solver_rel3" localSheetId="3" hidden="1">3</definedName>
    <definedName name="solver_rel4" localSheetId="4" hidden="1">1</definedName>
    <definedName name="solver_rel4" localSheetId="0" hidden="1">1</definedName>
    <definedName name="solver_rel4" localSheetId="1" hidden="1">1</definedName>
    <definedName name="solver_rel4" localSheetId="2" hidden="1">1</definedName>
    <definedName name="solver_rel4" localSheetId="3" hidden="1">1</definedName>
    <definedName name="solver_rhs1" localSheetId="4" hidden="1">'$ alcantarillado'!#REF!</definedName>
    <definedName name="solver_rhs1" localSheetId="0" hidden="1">integer</definedName>
    <definedName name="solver_rhs1" localSheetId="1" hidden="1">integer</definedName>
    <definedName name="solver_rhs1" localSheetId="2" hidden="1">integer</definedName>
    <definedName name="solver_rhs1" localSheetId="3" hidden="1">integer</definedName>
    <definedName name="solver_rhs2" localSheetId="4" hidden="1">0</definedName>
    <definedName name="solver_rhs2" localSheetId="0" hidden="1">'LOGIKA AN-1'!#REF!</definedName>
    <definedName name="solver_rhs2" localSheetId="1" hidden="1">'LOGIKA AN-2'!#REF!</definedName>
    <definedName name="solver_rhs2" localSheetId="2" hidden="1">'LOGIKA AN-3'!#REF!</definedName>
    <definedName name="solver_rhs2" localSheetId="3" hidden="1">'LOGIKA AN-4'!#REF!</definedName>
    <definedName name="solver_rhs3" localSheetId="4" hidden="1">0</definedName>
    <definedName name="solver_rhs3" localSheetId="0" hidden="1">0</definedName>
    <definedName name="solver_rhs3" localSheetId="1" hidden="1">0</definedName>
    <definedName name="solver_rhs3" localSheetId="2" hidden="1">0</definedName>
    <definedName name="solver_rhs3" localSheetId="3" hidden="1">0</definedName>
    <definedName name="solver_rhs4" localSheetId="4" hidden="1">6</definedName>
    <definedName name="solver_rhs4" localSheetId="0" hidden="1">6</definedName>
    <definedName name="solver_rhs4" localSheetId="1" hidden="1">6</definedName>
    <definedName name="solver_rhs4" localSheetId="2" hidden="1">6</definedName>
    <definedName name="solver_rhs4" localSheetId="3" hidden="1">6</definedName>
    <definedName name="solver_scl" localSheetId="4" hidden="1">2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cl" localSheetId="3" hidden="1">2</definedName>
    <definedName name="solver_sho" localSheetId="4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tim" localSheetId="4" hidden="1">100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im" localSheetId="3" hidden="1">100</definedName>
    <definedName name="solver_tol" localSheetId="4" hidden="1">0.05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ol" localSheetId="3" hidden="1">0.05</definedName>
    <definedName name="solver_typ" localSheetId="4" hidden="1">2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val" localSheetId="4" hidden="1">0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3" hidden="1">0</definedName>
    <definedName name="_xlnm.Print_Titles" localSheetId="5">Relaciones!$1:$3</definedName>
  </definedNames>
  <calcPr calcId="152511"/>
</workbook>
</file>

<file path=xl/calcChain.xml><?xml version="1.0" encoding="utf-8"?>
<calcChain xmlns="http://schemas.openxmlformats.org/spreadsheetml/2006/main">
  <c r="L7" i="9" l="1"/>
  <c r="I180" i="12" l="1"/>
  <c r="I181" i="12" s="1"/>
  <c r="I182" i="12" s="1"/>
  <c r="I183" i="12" s="1"/>
  <c r="I184" i="12" s="1"/>
  <c r="I185" i="12" s="1"/>
  <c r="I186" i="12" s="1"/>
  <c r="I178" i="12"/>
  <c r="I179" i="12" s="1"/>
  <c r="I177" i="12"/>
  <c r="F171" i="12"/>
  <c r="F172" i="12" s="1"/>
  <c r="F167" i="12"/>
  <c r="F166" i="12"/>
  <c r="F161" i="12"/>
  <c r="I156" i="12"/>
  <c r="I157" i="12" s="1"/>
  <c r="I158" i="12" s="1"/>
  <c r="I159" i="12" s="1"/>
  <c r="I160" i="12" s="1"/>
  <c r="I161" i="12" s="1"/>
  <c r="I166" i="12" s="1"/>
  <c r="F156" i="12"/>
  <c r="I153" i="12"/>
  <c r="I154" i="12" s="1"/>
  <c r="I155" i="12" s="1"/>
  <c r="K152" i="12"/>
  <c r="I152" i="12"/>
  <c r="M151" i="12"/>
  <c r="L151" i="12"/>
  <c r="K151" i="12"/>
  <c r="K176" i="12" s="1"/>
  <c r="K177" i="12" s="1"/>
  <c r="K178" i="12" s="1"/>
  <c r="L178" i="12" s="1"/>
  <c r="M178" i="12" s="1"/>
  <c r="I124" i="12"/>
  <c r="I125" i="12" s="1"/>
  <c r="I126" i="12" s="1"/>
  <c r="I127" i="12" s="1"/>
  <c r="I128" i="12" s="1"/>
  <c r="I129" i="12" s="1"/>
  <c r="I130" i="12" s="1"/>
  <c r="I131" i="12" s="1"/>
  <c r="I132" i="12" s="1"/>
  <c r="I133" i="12" s="1"/>
  <c r="B123" i="12"/>
  <c r="B98" i="12"/>
  <c r="I75" i="12"/>
  <c r="I76" i="12" s="1"/>
  <c r="I77" i="12" s="1"/>
  <c r="I78" i="12" s="1"/>
  <c r="I79" i="12" s="1"/>
  <c r="I80" i="12" s="1"/>
  <c r="I81" i="12" s="1"/>
  <c r="I82" i="12" s="1"/>
  <c r="I83" i="12" s="1"/>
  <c r="I74" i="12"/>
  <c r="I49" i="12"/>
  <c r="I50" i="12" s="1"/>
  <c r="I51" i="12" s="1"/>
  <c r="I52" i="12" s="1"/>
  <c r="I53" i="12" s="1"/>
  <c r="I54" i="12" s="1"/>
  <c r="I55" i="12" s="1"/>
  <c r="I56" i="12" s="1"/>
  <c r="I57" i="12" s="1"/>
  <c r="I58" i="12" s="1"/>
  <c r="I26" i="12"/>
  <c r="I27" i="12" s="1"/>
  <c r="I28" i="12" s="1"/>
  <c r="I29" i="12" s="1"/>
  <c r="I30" i="12" s="1"/>
  <c r="I31" i="12" s="1"/>
  <c r="I32" i="12" s="1"/>
  <c r="I33" i="12" s="1"/>
  <c r="K25" i="12"/>
  <c r="K24" i="12"/>
  <c r="L24" i="12" s="1"/>
  <c r="M24" i="12" s="1"/>
  <c r="I24" i="12"/>
  <c r="I25" i="12" s="1"/>
  <c r="M23" i="12"/>
  <c r="L23" i="12"/>
  <c r="K23" i="12"/>
  <c r="K48" i="12" s="1"/>
  <c r="B15" i="12"/>
  <c r="H13" i="12"/>
  <c r="H12" i="12"/>
  <c r="H10" i="12"/>
  <c r="H8" i="12"/>
  <c r="AM7" i="12"/>
  <c r="AN7" i="12" s="1"/>
  <c r="AL7" i="12"/>
  <c r="H7" i="12"/>
  <c r="H6" i="12"/>
  <c r="AO5" i="12"/>
  <c r="H5" i="12"/>
  <c r="M7" i="9"/>
  <c r="I38" i="12" l="1"/>
  <c r="I34" i="12"/>
  <c r="I35" i="12" s="1"/>
  <c r="I36" i="12" s="1"/>
  <c r="I37" i="12" s="1"/>
  <c r="I59" i="12"/>
  <c r="I60" i="12" s="1"/>
  <c r="I61" i="12" s="1"/>
  <c r="I62" i="12" s="1"/>
  <c r="I63" i="12"/>
  <c r="I84" i="12"/>
  <c r="I85" i="12" s="1"/>
  <c r="I86" i="12" s="1"/>
  <c r="I87" i="12" s="1"/>
  <c r="I98" i="12" s="1"/>
  <c r="I99" i="12" s="1"/>
  <c r="I100" i="12" s="1"/>
  <c r="I101" i="12" s="1"/>
  <c r="I102" i="12" s="1"/>
  <c r="I103" i="12" s="1"/>
  <c r="I104" i="12" s="1"/>
  <c r="I105" i="12" s="1"/>
  <c r="I106" i="12" s="1"/>
  <c r="I107" i="12" s="1"/>
  <c r="I108" i="12" s="1"/>
  <c r="I88" i="12"/>
  <c r="K26" i="12"/>
  <c r="L25" i="12"/>
  <c r="M25" i="12" s="1"/>
  <c r="K73" i="12"/>
  <c r="L48" i="12"/>
  <c r="M48" i="12" s="1"/>
  <c r="K49" i="12"/>
  <c r="I171" i="12"/>
  <c r="I172" i="12" s="1"/>
  <c r="I173" i="12" s="1"/>
  <c r="I174" i="12" s="1"/>
  <c r="I175" i="12" s="1"/>
  <c r="I167" i="12"/>
  <c r="I168" i="12" s="1"/>
  <c r="I169" i="12" s="1"/>
  <c r="I170" i="12" s="1"/>
  <c r="I162" i="12"/>
  <c r="I163" i="12" s="1"/>
  <c r="I164" i="12" s="1"/>
  <c r="I165" i="12" s="1"/>
  <c r="I138" i="12"/>
  <c r="I134" i="12"/>
  <c r="I135" i="12" s="1"/>
  <c r="I136" i="12" s="1"/>
  <c r="I137" i="12" s="1"/>
  <c r="I191" i="12"/>
  <c r="I187" i="12"/>
  <c r="I188" i="12" s="1"/>
  <c r="I189" i="12" s="1"/>
  <c r="I190" i="12" s="1"/>
  <c r="L152" i="12"/>
  <c r="M152" i="12" s="1"/>
  <c r="K153" i="12"/>
  <c r="F168" i="12"/>
  <c r="F173" i="12"/>
  <c r="F157" i="12"/>
  <c r="F162" i="12"/>
  <c r="K179" i="12"/>
  <c r="L176" i="12"/>
  <c r="M176" i="12" s="1"/>
  <c r="L177" i="12"/>
  <c r="M177" i="12" s="1"/>
  <c r="L179" i="12" l="1"/>
  <c r="M179" i="12" s="1"/>
  <c r="K180" i="12"/>
  <c r="F158" i="12"/>
  <c r="F169" i="12"/>
  <c r="I143" i="12"/>
  <c r="I144" i="12" s="1"/>
  <c r="I145" i="12" s="1"/>
  <c r="I146" i="12" s="1"/>
  <c r="I147" i="12" s="1"/>
  <c r="I139" i="12"/>
  <c r="I140" i="12" s="1"/>
  <c r="I141" i="12" s="1"/>
  <c r="I142" i="12" s="1"/>
  <c r="L49" i="12"/>
  <c r="M49" i="12" s="1"/>
  <c r="K50" i="12"/>
  <c r="I89" i="12"/>
  <c r="I90" i="12" s="1"/>
  <c r="I91" i="12" s="1"/>
  <c r="I92" i="12" s="1"/>
  <c r="I93" i="12"/>
  <c r="I94" i="12" s="1"/>
  <c r="I95" i="12" s="1"/>
  <c r="I96" i="12" s="1"/>
  <c r="I97" i="12" s="1"/>
  <c r="F174" i="12"/>
  <c r="L153" i="12"/>
  <c r="M153" i="12" s="1"/>
  <c r="K154" i="12"/>
  <c r="I113" i="12"/>
  <c r="I109" i="12"/>
  <c r="I110" i="12" s="1"/>
  <c r="I111" i="12" s="1"/>
  <c r="I112" i="12" s="1"/>
  <c r="I68" i="12"/>
  <c r="I69" i="12" s="1"/>
  <c r="I70" i="12" s="1"/>
  <c r="I71" i="12" s="1"/>
  <c r="I72" i="12" s="1"/>
  <c r="I64" i="12"/>
  <c r="I65" i="12" s="1"/>
  <c r="I66" i="12" s="1"/>
  <c r="I67" i="12" s="1"/>
  <c r="K27" i="12"/>
  <c r="L26" i="12"/>
  <c r="M26" i="12" s="1"/>
  <c r="I192" i="12"/>
  <c r="I193" i="12" s="1"/>
  <c r="I194" i="12" s="1"/>
  <c r="I195" i="12" s="1"/>
  <c r="I196" i="12"/>
  <c r="I197" i="12" s="1"/>
  <c r="I198" i="12" s="1"/>
  <c r="I199" i="12" s="1"/>
  <c r="I200" i="12" s="1"/>
  <c r="I43" i="12"/>
  <c r="I44" i="12" s="1"/>
  <c r="I45" i="12" s="1"/>
  <c r="I46" i="12" s="1"/>
  <c r="I47" i="12" s="1"/>
  <c r="I39" i="12"/>
  <c r="I40" i="12" s="1"/>
  <c r="I41" i="12" s="1"/>
  <c r="I42" i="12" s="1"/>
  <c r="F163" i="12"/>
  <c r="K74" i="12"/>
  <c r="L73" i="12"/>
  <c r="M73" i="12" s="1"/>
  <c r="F175" i="12" l="1"/>
  <c r="F159" i="12"/>
  <c r="K75" i="12"/>
  <c r="L74" i="12"/>
  <c r="M74" i="12" s="1"/>
  <c r="L154" i="12"/>
  <c r="M154" i="12" s="1"/>
  <c r="K155" i="12"/>
  <c r="L50" i="12"/>
  <c r="M50" i="12" s="1"/>
  <c r="K51" i="12"/>
  <c r="F170" i="12"/>
  <c r="K181" i="12"/>
  <c r="L180" i="12"/>
  <c r="M180" i="12" s="1"/>
  <c r="K28" i="12"/>
  <c r="L27" i="12"/>
  <c r="M27" i="12" s="1"/>
  <c r="I118" i="12"/>
  <c r="I119" i="12" s="1"/>
  <c r="I120" i="12" s="1"/>
  <c r="I114" i="12"/>
  <c r="I115" i="12" s="1"/>
  <c r="I116" i="12" s="1"/>
  <c r="I117" i="12" s="1"/>
  <c r="F164" i="12"/>
  <c r="K29" i="12" l="1"/>
  <c r="L28" i="12"/>
  <c r="M28" i="12" s="1"/>
  <c r="F160" i="12"/>
  <c r="K182" i="12"/>
  <c r="L181" i="12"/>
  <c r="M181" i="12" s="1"/>
  <c r="K156" i="12"/>
  <c r="L155" i="12"/>
  <c r="M155" i="12" s="1"/>
  <c r="K52" i="12"/>
  <c r="L51" i="12"/>
  <c r="M51" i="12" s="1"/>
  <c r="F165" i="12"/>
  <c r="I121" i="12"/>
  <c r="L75" i="12"/>
  <c r="M75" i="12" s="1"/>
  <c r="K76" i="12"/>
  <c r="I122" i="12" l="1"/>
  <c r="K53" i="12"/>
  <c r="L52" i="12"/>
  <c r="M52" i="12" s="1"/>
  <c r="L156" i="12"/>
  <c r="M156" i="12" s="1"/>
  <c r="K157" i="12"/>
  <c r="L29" i="12"/>
  <c r="M29" i="12" s="1"/>
  <c r="K30" i="12"/>
  <c r="L76" i="12"/>
  <c r="M76" i="12" s="1"/>
  <c r="K77" i="12"/>
  <c r="L182" i="12"/>
  <c r="M182" i="12" s="1"/>
  <c r="K183" i="12"/>
  <c r="L183" i="12" l="1"/>
  <c r="M183" i="12" s="1"/>
  <c r="K184" i="12"/>
  <c r="K158" i="12"/>
  <c r="L157" i="12"/>
  <c r="M157" i="12" s="1"/>
  <c r="K78" i="12"/>
  <c r="L77" i="12"/>
  <c r="M77" i="12" s="1"/>
  <c r="K31" i="12"/>
  <c r="L30" i="12"/>
  <c r="M30" i="12" s="1"/>
  <c r="L53" i="12"/>
  <c r="M53" i="12" s="1"/>
  <c r="K54" i="12"/>
  <c r="L54" i="12" l="1"/>
  <c r="M54" i="12" s="1"/>
  <c r="K55" i="12"/>
  <c r="K79" i="12"/>
  <c r="L78" i="12"/>
  <c r="M78" i="12" s="1"/>
  <c r="K185" i="12"/>
  <c r="L184" i="12"/>
  <c r="M184" i="12" s="1"/>
  <c r="L31" i="12"/>
  <c r="M31" i="12" s="1"/>
  <c r="K32" i="12"/>
  <c r="L158" i="12"/>
  <c r="M158" i="12" s="1"/>
  <c r="K159" i="12"/>
  <c r="K160" i="12" l="1"/>
  <c r="L159" i="12"/>
  <c r="M159" i="12" s="1"/>
  <c r="K33" i="12"/>
  <c r="L32" i="12"/>
  <c r="M32" i="12" s="1"/>
  <c r="K186" i="12"/>
  <c r="L185" i="12"/>
  <c r="M185" i="12" s="1"/>
  <c r="L55" i="12"/>
  <c r="M55" i="12" s="1"/>
  <c r="K56" i="12"/>
  <c r="K80" i="12"/>
  <c r="L79" i="12"/>
  <c r="M79" i="12" s="1"/>
  <c r="L80" i="12" l="1"/>
  <c r="M80" i="12" s="1"/>
  <c r="K81" i="12"/>
  <c r="K191" i="12"/>
  <c r="K187" i="12"/>
  <c r="L186" i="12"/>
  <c r="M186" i="12" s="1"/>
  <c r="K161" i="12"/>
  <c r="L160" i="12"/>
  <c r="M160" i="12" s="1"/>
  <c r="L33" i="12"/>
  <c r="M33" i="12" s="1"/>
  <c r="K38" i="12"/>
  <c r="K34" i="12"/>
  <c r="K57" i="12"/>
  <c r="L56" i="12"/>
  <c r="M56" i="12" s="1"/>
  <c r="K35" i="12" l="1"/>
  <c r="L34" i="12"/>
  <c r="M34" i="12" s="1"/>
  <c r="K58" i="12"/>
  <c r="L57" i="12"/>
  <c r="M57" i="12" s="1"/>
  <c r="L38" i="12"/>
  <c r="M38" i="12" s="1"/>
  <c r="K43" i="12"/>
  <c r="K39" i="12"/>
  <c r="K188" i="12"/>
  <c r="L187" i="12"/>
  <c r="M187" i="12" s="1"/>
  <c r="L81" i="12"/>
  <c r="M81" i="12" s="1"/>
  <c r="K82" i="12"/>
  <c r="K196" i="12"/>
  <c r="K192" i="12"/>
  <c r="L191" i="12"/>
  <c r="M191" i="12" s="1"/>
  <c r="K166" i="12"/>
  <c r="K162" i="12"/>
  <c r="L161" i="12"/>
  <c r="M161" i="12" s="1"/>
  <c r="K197" i="12" l="1"/>
  <c r="L196" i="12"/>
  <c r="M196" i="12" s="1"/>
  <c r="K189" i="12"/>
  <c r="L188" i="12"/>
  <c r="M188" i="12" s="1"/>
  <c r="K40" i="12"/>
  <c r="L39" i="12"/>
  <c r="M39" i="12" s="1"/>
  <c r="K36" i="12"/>
  <c r="L35" i="12"/>
  <c r="M35" i="12" s="1"/>
  <c r="K167" i="12"/>
  <c r="K171" i="12"/>
  <c r="L166" i="12"/>
  <c r="M166" i="12" s="1"/>
  <c r="K44" i="12"/>
  <c r="L43" i="12"/>
  <c r="M43" i="12" s="1"/>
  <c r="K163" i="12"/>
  <c r="L162" i="12"/>
  <c r="M162" i="12" s="1"/>
  <c r="K83" i="12"/>
  <c r="L82" i="12"/>
  <c r="M82" i="12" s="1"/>
  <c r="L58" i="12"/>
  <c r="M58" i="12" s="1"/>
  <c r="K63" i="12"/>
  <c r="K59" i="12"/>
  <c r="K193" i="12"/>
  <c r="L192" i="12"/>
  <c r="M192" i="12" s="1"/>
  <c r="L59" i="12" l="1"/>
  <c r="M59" i="12" s="1"/>
  <c r="K60" i="12"/>
  <c r="K172" i="12"/>
  <c r="L171" i="12"/>
  <c r="M171" i="12" s="1"/>
  <c r="L40" i="12"/>
  <c r="M40" i="12" s="1"/>
  <c r="K41" i="12"/>
  <c r="L63" i="12"/>
  <c r="M63" i="12" s="1"/>
  <c r="K68" i="12"/>
  <c r="K64" i="12"/>
  <c r="L163" i="12"/>
  <c r="M163" i="12" s="1"/>
  <c r="K164" i="12"/>
  <c r="K45" i="12"/>
  <c r="L44" i="12"/>
  <c r="M44" i="12" s="1"/>
  <c r="L167" i="12"/>
  <c r="M167" i="12" s="1"/>
  <c r="K168" i="12"/>
  <c r="K37" i="12"/>
  <c r="L37" i="12" s="1"/>
  <c r="M37" i="12" s="1"/>
  <c r="L36" i="12"/>
  <c r="M36" i="12" s="1"/>
  <c r="K198" i="12"/>
  <c r="L197" i="12"/>
  <c r="M197" i="12" s="1"/>
  <c r="L193" i="12"/>
  <c r="M193" i="12" s="1"/>
  <c r="K194" i="12"/>
  <c r="K88" i="12"/>
  <c r="K84" i="12"/>
  <c r="L83" i="12"/>
  <c r="M83" i="12" s="1"/>
  <c r="L189" i="12"/>
  <c r="M189" i="12" s="1"/>
  <c r="K190" i="12"/>
  <c r="L190" i="12" s="1"/>
  <c r="M190" i="12" s="1"/>
  <c r="K165" i="12" l="1"/>
  <c r="L165" i="12" s="1"/>
  <c r="M165" i="12" s="1"/>
  <c r="L164" i="12"/>
  <c r="M164" i="12" s="1"/>
  <c r="L68" i="12"/>
  <c r="M68" i="12" s="1"/>
  <c r="K69" i="12"/>
  <c r="K42" i="12"/>
  <c r="L42" i="12" s="1"/>
  <c r="M42" i="12" s="1"/>
  <c r="L41" i="12"/>
  <c r="M41" i="12" s="1"/>
  <c r="K85" i="12"/>
  <c r="L84" i="12"/>
  <c r="M84" i="12" s="1"/>
  <c r="L172" i="12"/>
  <c r="M172" i="12" s="1"/>
  <c r="K173" i="12"/>
  <c r="L60" i="12"/>
  <c r="M60" i="12" s="1"/>
  <c r="K61" i="12"/>
  <c r="K169" i="12"/>
  <c r="L168" i="12"/>
  <c r="M168" i="12" s="1"/>
  <c r="K46" i="12"/>
  <c r="L45" i="12"/>
  <c r="M45" i="12" s="1"/>
  <c r="K65" i="12"/>
  <c r="L64" i="12"/>
  <c r="M64" i="12" s="1"/>
  <c r="L194" i="12"/>
  <c r="M194" i="12" s="1"/>
  <c r="K195" i="12"/>
  <c r="L195" i="12" s="1"/>
  <c r="M195" i="12" s="1"/>
  <c r="K93" i="12"/>
  <c r="K89" i="12"/>
  <c r="L88" i="12"/>
  <c r="M88" i="12" s="1"/>
  <c r="L198" i="12"/>
  <c r="M198" i="12" s="1"/>
  <c r="K199" i="12"/>
  <c r="K62" i="12" l="1"/>
  <c r="L62" i="12" s="1"/>
  <c r="M62" i="12" s="1"/>
  <c r="L61" i="12"/>
  <c r="M61" i="12" s="1"/>
  <c r="K47" i="12"/>
  <c r="L47" i="12" s="1"/>
  <c r="M47" i="12" s="1"/>
  <c r="L46" i="12"/>
  <c r="M46" i="12" s="1"/>
  <c r="K70" i="12"/>
  <c r="L69" i="12"/>
  <c r="M69" i="12" s="1"/>
  <c r="L85" i="12"/>
  <c r="M85" i="12" s="1"/>
  <c r="K86" i="12"/>
  <c r="L199" i="12"/>
  <c r="M199" i="12" s="1"/>
  <c r="K200" i="12"/>
  <c r="L200" i="12" s="1"/>
  <c r="M200" i="12" s="1"/>
  <c r="L173" i="12"/>
  <c r="M173" i="12" s="1"/>
  <c r="K174" i="12"/>
  <c r="K94" i="12"/>
  <c r="L93" i="12"/>
  <c r="M93" i="12" s="1"/>
  <c r="K90" i="12"/>
  <c r="L89" i="12"/>
  <c r="M89" i="12" s="1"/>
  <c r="K66" i="12"/>
  <c r="L65" i="12"/>
  <c r="M65" i="12" s="1"/>
  <c r="L169" i="12"/>
  <c r="M169" i="12" s="1"/>
  <c r="K170" i="12"/>
  <c r="L170" i="12" s="1"/>
  <c r="M170" i="12" s="1"/>
  <c r="L174" i="12" l="1"/>
  <c r="M174" i="12" s="1"/>
  <c r="K175" i="12"/>
  <c r="L175" i="12" s="1"/>
  <c r="M175" i="12" s="1"/>
  <c r="L86" i="12"/>
  <c r="M86" i="12" s="1"/>
  <c r="K87" i="12"/>
  <c r="L66" i="12"/>
  <c r="M66" i="12" s="1"/>
  <c r="K67" i="12"/>
  <c r="L67" i="12" s="1"/>
  <c r="M67" i="12" s="1"/>
  <c r="K95" i="12"/>
  <c r="L94" i="12"/>
  <c r="M94" i="12" s="1"/>
  <c r="L90" i="12"/>
  <c r="M90" i="12" s="1"/>
  <c r="K91" i="12"/>
  <c r="K71" i="12"/>
  <c r="L70" i="12"/>
  <c r="M70" i="12" s="1"/>
  <c r="L71" i="12" l="1"/>
  <c r="M71" i="12" s="1"/>
  <c r="K72" i="12"/>
  <c r="L72" i="12" s="1"/>
  <c r="M72" i="12" s="1"/>
  <c r="K98" i="12"/>
  <c r="L87" i="12"/>
  <c r="M87" i="12" s="1"/>
  <c r="L91" i="12"/>
  <c r="M91" i="12" s="1"/>
  <c r="K92" i="12"/>
  <c r="L92" i="12" s="1"/>
  <c r="M92" i="12" s="1"/>
  <c r="L95" i="12"/>
  <c r="M95" i="12" s="1"/>
  <c r="K96" i="12"/>
  <c r="I184" i="11"/>
  <c r="I185" i="11" s="1"/>
  <c r="I186" i="11" s="1"/>
  <c r="I177" i="11"/>
  <c r="I178" i="11" s="1"/>
  <c r="I179" i="11" s="1"/>
  <c r="I180" i="11" s="1"/>
  <c r="I181" i="11" s="1"/>
  <c r="I182" i="11" s="1"/>
  <c r="I183" i="11" s="1"/>
  <c r="F171" i="11"/>
  <c r="F167" i="11"/>
  <c r="F166" i="11"/>
  <c r="F161" i="11"/>
  <c r="I158" i="11"/>
  <c r="I159" i="11" s="1"/>
  <c r="I160" i="11" s="1"/>
  <c r="I161" i="11" s="1"/>
  <c r="I166" i="11" s="1"/>
  <c r="F157" i="11"/>
  <c r="F156" i="11"/>
  <c r="I152" i="11"/>
  <c r="I153" i="11" s="1"/>
  <c r="I154" i="11" s="1"/>
  <c r="I155" i="11" s="1"/>
  <c r="I156" i="11" s="1"/>
  <c r="I157" i="11" s="1"/>
  <c r="L151" i="11"/>
  <c r="M151" i="11" s="1"/>
  <c r="K151" i="11"/>
  <c r="K176" i="11" s="1"/>
  <c r="I126" i="11"/>
  <c r="I127" i="11" s="1"/>
  <c r="I128" i="11" s="1"/>
  <c r="I129" i="11" s="1"/>
  <c r="I130" i="11" s="1"/>
  <c r="I131" i="11" s="1"/>
  <c r="I132" i="11" s="1"/>
  <c r="I133" i="11" s="1"/>
  <c r="I125" i="11"/>
  <c r="I124" i="11"/>
  <c r="B123" i="11"/>
  <c r="B98" i="11"/>
  <c r="I76" i="11"/>
  <c r="I77" i="11" s="1"/>
  <c r="I78" i="11" s="1"/>
  <c r="I79" i="11" s="1"/>
  <c r="I80" i="11" s="1"/>
  <c r="I81" i="11" s="1"/>
  <c r="I82" i="11" s="1"/>
  <c r="I83" i="11" s="1"/>
  <c r="I88" i="11" s="1"/>
  <c r="I93" i="11" s="1"/>
  <c r="I94" i="11" s="1"/>
  <c r="I95" i="11" s="1"/>
  <c r="I96" i="11" s="1"/>
  <c r="I97" i="11" s="1"/>
  <c r="I74" i="11"/>
  <c r="I75" i="11" s="1"/>
  <c r="I49" i="11"/>
  <c r="I50" i="11" s="1"/>
  <c r="I51" i="11" s="1"/>
  <c r="I52" i="11" s="1"/>
  <c r="I53" i="11" s="1"/>
  <c r="I54" i="11" s="1"/>
  <c r="I55" i="11" s="1"/>
  <c r="I56" i="11" s="1"/>
  <c r="I57" i="11" s="1"/>
  <c r="I58" i="11" s="1"/>
  <c r="I24" i="11"/>
  <c r="I25" i="11" s="1"/>
  <c r="I26" i="11" s="1"/>
  <c r="I27" i="11" s="1"/>
  <c r="I28" i="11" s="1"/>
  <c r="I29" i="11" s="1"/>
  <c r="I30" i="11" s="1"/>
  <c r="I31" i="11" s="1"/>
  <c r="I32" i="11" s="1"/>
  <c r="I33" i="11" s="1"/>
  <c r="K23" i="11"/>
  <c r="K48" i="11" s="1"/>
  <c r="B15" i="11"/>
  <c r="H13" i="11"/>
  <c r="H12" i="11"/>
  <c r="H10" i="11"/>
  <c r="H8" i="11"/>
  <c r="AM7" i="11"/>
  <c r="AN7" i="11" s="1"/>
  <c r="AL7" i="11"/>
  <c r="H7" i="11"/>
  <c r="H6" i="11"/>
  <c r="AO5" i="11"/>
  <c r="H5" i="11"/>
  <c r="B15" i="10"/>
  <c r="I177" i="10"/>
  <c r="I178" i="10" s="1"/>
  <c r="I179" i="10" s="1"/>
  <c r="I180" i="10" s="1"/>
  <c r="I181" i="10" s="1"/>
  <c r="I182" i="10" s="1"/>
  <c r="I183" i="10" s="1"/>
  <c r="I184" i="10" s="1"/>
  <c r="I185" i="10" s="1"/>
  <c r="I186" i="10" s="1"/>
  <c r="F172" i="10"/>
  <c r="F171" i="10"/>
  <c r="F166" i="10"/>
  <c r="F161" i="10"/>
  <c r="F162" i="10" s="1"/>
  <c r="F156" i="10"/>
  <c r="F157" i="10" s="1"/>
  <c r="F158" i="10" s="1"/>
  <c r="I152" i="10"/>
  <c r="I153" i="10" s="1"/>
  <c r="I154" i="10" s="1"/>
  <c r="I155" i="10" s="1"/>
  <c r="I156" i="10" s="1"/>
  <c r="I157" i="10" s="1"/>
  <c r="I158" i="10" s="1"/>
  <c r="I159" i="10" s="1"/>
  <c r="I160" i="10" s="1"/>
  <c r="I161" i="10" s="1"/>
  <c r="K151" i="10"/>
  <c r="K176" i="10" s="1"/>
  <c r="K177" i="10" s="1"/>
  <c r="I124" i="10"/>
  <c r="I125" i="10" s="1"/>
  <c r="I126" i="10" s="1"/>
  <c r="I127" i="10" s="1"/>
  <c r="I128" i="10" s="1"/>
  <c r="I129" i="10" s="1"/>
  <c r="I130" i="10" s="1"/>
  <c r="I131" i="10" s="1"/>
  <c r="I132" i="10" s="1"/>
  <c r="I133" i="10" s="1"/>
  <c r="B123" i="10"/>
  <c r="B98" i="10"/>
  <c r="I74" i="10"/>
  <c r="I75" i="10" s="1"/>
  <c r="I76" i="10" s="1"/>
  <c r="I77" i="10" s="1"/>
  <c r="I78" i="10" s="1"/>
  <c r="I79" i="10" s="1"/>
  <c r="I80" i="10" s="1"/>
  <c r="I81" i="10" s="1"/>
  <c r="I82" i="10" s="1"/>
  <c r="I83" i="10" s="1"/>
  <c r="I49" i="10"/>
  <c r="I50" i="10" s="1"/>
  <c r="I51" i="10" s="1"/>
  <c r="I52" i="10" s="1"/>
  <c r="I53" i="10" s="1"/>
  <c r="I54" i="10" s="1"/>
  <c r="I55" i="10" s="1"/>
  <c r="I56" i="10" s="1"/>
  <c r="I57" i="10" s="1"/>
  <c r="I58" i="10" s="1"/>
  <c r="I24" i="10"/>
  <c r="I25" i="10" s="1"/>
  <c r="I26" i="10" s="1"/>
  <c r="I27" i="10" s="1"/>
  <c r="I28" i="10" s="1"/>
  <c r="I29" i="10" s="1"/>
  <c r="I30" i="10" s="1"/>
  <c r="I31" i="10" s="1"/>
  <c r="I32" i="10" s="1"/>
  <c r="I33" i="10" s="1"/>
  <c r="L23" i="10"/>
  <c r="M23" i="10" s="1"/>
  <c r="K23" i="10"/>
  <c r="K48" i="10" s="1"/>
  <c r="H13" i="10"/>
  <c r="H12" i="10"/>
  <c r="H10" i="10"/>
  <c r="H8" i="10"/>
  <c r="AL7" i="10"/>
  <c r="AM7" i="10" s="1"/>
  <c r="AN7" i="10" s="1"/>
  <c r="H7" i="10"/>
  <c r="H6" i="10"/>
  <c r="AO5" i="10"/>
  <c r="H5" i="10"/>
  <c r="L151" i="10" l="1"/>
  <c r="M151" i="10" s="1"/>
  <c r="L176" i="10"/>
  <c r="M176" i="10" s="1"/>
  <c r="L96" i="12"/>
  <c r="M96" i="12" s="1"/>
  <c r="K97" i="12"/>
  <c r="L97" i="12" s="1"/>
  <c r="M97" i="12" s="1"/>
  <c r="K99" i="12"/>
  <c r="L98" i="12"/>
  <c r="M98" i="12" s="1"/>
  <c r="I38" i="11"/>
  <c r="I34" i="11"/>
  <c r="I35" i="11" s="1"/>
  <c r="I36" i="11" s="1"/>
  <c r="I37" i="11" s="1"/>
  <c r="K73" i="11"/>
  <c r="L48" i="11"/>
  <c r="M48" i="11" s="1"/>
  <c r="K49" i="11"/>
  <c r="I63" i="11"/>
  <c r="I59" i="11"/>
  <c r="I60" i="11" s="1"/>
  <c r="I61" i="11" s="1"/>
  <c r="I62" i="11" s="1"/>
  <c r="K24" i="11"/>
  <c r="I89" i="11"/>
  <c r="I90" i="11" s="1"/>
  <c r="I91" i="11" s="1"/>
  <c r="I92" i="11" s="1"/>
  <c r="L23" i="11"/>
  <c r="M23" i="11" s="1"/>
  <c r="I84" i="11"/>
  <c r="I85" i="11" s="1"/>
  <c r="I86" i="11" s="1"/>
  <c r="I8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38" i="11"/>
  <c r="I134" i="11"/>
  <c r="I135" i="11" s="1"/>
  <c r="I136" i="11" s="1"/>
  <c r="I137" i="11" s="1"/>
  <c r="I162" i="11"/>
  <c r="I163" i="11" s="1"/>
  <c r="I164" i="11" s="1"/>
  <c r="I165" i="11" s="1"/>
  <c r="I171" i="11"/>
  <c r="I172" i="11" s="1"/>
  <c r="I173" i="11" s="1"/>
  <c r="I174" i="11" s="1"/>
  <c r="I175" i="11" s="1"/>
  <c r="I167" i="11"/>
  <c r="I168" i="11" s="1"/>
  <c r="I169" i="11" s="1"/>
  <c r="I170" i="11" s="1"/>
  <c r="F168" i="11"/>
  <c r="I187" i="11"/>
  <c r="I188" i="11" s="1"/>
  <c r="I189" i="11" s="1"/>
  <c r="I190" i="11" s="1"/>
  <c r="I191" i="11"/>
  <c r="F158" i="11"/>
  <c r="F162" i="11"/>
  <c r="K152" i="11"/>
  <c r="L176" i="11"/>
  <c r="M176" i="11" s="1"/>
  <c r="K177" i="11"/>
  <c r="F172" i="11"/>
  <c r="I38" i="10"/>
  <c r="I34" i="10"/>
  <c r="I35" i="10" s="1"/>
  <c r="I36" i="10" s="1"/>
  <c r="I37" i="10" s="1"/>
  <c r="I63" i="10"/>
  <c r="I59" i="10"/>
  <c r="I60" i="10" s="1"/>
  <c r="I61" i="10" s="1"/>
  <c r="I62" i="10" s="1"/>
  <c r="I88" i="10"/>
  <c r="I84" i="10"/>
  <c r="I85" i="10" s="1"/>
  <c r="I86" i="10" s="1"/>
  <c r="I87" i="10" s="1"/>
  <c r="I98" i="10" s="1"/>
  <c r="I99" i="10" s="1"/>
  <c r="I100" i="10" s="1"/>
  <c r="I101" i="10" s="1"/>
  <c r="I102" i="10" s="1"/>
  <c r="I103" i="10" s="1"/>
  <c r="I104" i="10" s="1"/>
  <c r="I105" i="10" s="1"/>
  <c r="I106" i="10" s="1"/>
  <c r="I107" i="10" s="1"/>
  <c r="I108" i="10" s="1"/>
  <c r="K24" i="10"/>
  <c r="K73" i="10"/>
  <c r="L48" i="10"/>
  <c r="M48" i="10" s="1"/>
  <c r="K49" i="10"/>
  <c r="I138" i="10"/>
  <c r="I134" i="10"/>
  <c r="I135" i="10" s="1"/>
  <c r="I136" i="10" s="1"/>
  <c r="I137" i="10" s="1"/>
  <c r="I166" i="10"/>
  <c r="I162" i="10"/>
  <c r="I163" i="10" s="1"/>
  <c r="I164" i="10" s="1"/>
  <c r="I165" i="10" s="1"/>
  <c r="F163" i="10"/>
  <c r="K152" i="10"/>
  <c r="F159" i="10"/>
  <c r="F167" i="10"/>
  <c r="F173" i="10"/>
  <c r="K178" i="10"/>
  <c r="L177" i="10"/>
  <c r="M177" i="10" s="1"/>
  <c r="I191" i="10"/>
  <c r="I187" i="10"/>
  <c r="I188" i="10" s="1"/>
  <c r="I189" i="10" s="1"/>
  <c r="I190" i="10" s="1"/>
  <c r="K100" i="12" l="1"/>
  <c r="L99" i="12"/>
  <c r="M99" i="12" s="1"/>
  <c r="K153" i="11"/>
  <c r="L152" i="11"/>
  <c r="M152" i="11" s="1"/>
  <c r="I68" i="11"/>
  <c r="I69" i="11" s="1"/>
  <c r="I70" i="11" s="1"/>
  <c r="I71" i="11" s="1"/>
  <c r="I72" i="11" s="1"/>
  <c r="I64" i="11"/>
  <c r="I65" i="11" s="1"/>
  <c r="I66" i="11" s="1"/>
  <c r="I67" i="11" s="1"/>
  <c r="I196" i="11"/>
  <c r="I197" i="11" s="1"/>
  <c r="I198" i="11" s="1"/>
  <c r="I199" i="11" s="1"/>
  <c r="I200" i="11" s="1"/>
  <c r="I192" i="11"/>
  <c r="I193" i="11" s="1"/>
  <c r="I194" i="11" s="1"/>
  <c r="I195" i="11" s="1"/>
  <c r="I139" i="11"/>
  <c r="I140" i="11" s="1"/>
  <c r="I141" i="11" s="1"/>
  <c r="I142" i="11" s="1"/>
  <c r="I143" i="11"/>
  <c r="I144" i="11" s="1"/>
  <c r="I145" i="11" s="1"/>
  <c r="I146" i="11" s="1"/>
  <c r="I147" i="11" s="1"/>
  <c r="K50" i="11"/>
  <c r="L49" i="11"/>
  <c r="M49" i="11" s="1"/>
  <c r="F163" i="11"/>
  <c r="F173" i="11"/>
  <c r="K178" i="11"/>
  <c r="L177" i="11"/>
  <c r="M177" i="11" s="1"/>
  <c r="F159" i="11"/>
  <c r="F169" i="11"/>
  <c r="I113" i="11"/>
  <c r="I109" i="11"/>
  <c r="I110" i="11" s="1"/>
  <c r="I111" i="11" s="1"/>
  <c r="I112" i="11" s="1"/>
  <c r="K25" i="11"/>
  <c r="L24" i="11"/>
  <c r="M24" i="11" s="1"/>
  <c r="L73" i="11"/>
  <c r="M73" i="11" s="1"/>
  <c r="K74" i="11"/>
  <c r="I39" i="11"/>
  <c r="I40" i="11" s="1"/>
  <c r="I41" i="11" s="1"/>
  <c r="I42" i="11" s="1"/>
  <c r="I43" i="11"/>
  <c r="I44" i="11" s="1"/>
  <c r="I45" i="11" s="1"/>
  <c r="I46" i="11" s="1"/>
  <c r="I47" i="11" s="1"/>
  <c r="K74" i="10"/>
  <c r="L73" i="10"/>
  <c r="M73" i="10" s="1"/>
  <c r="I93" i="10"/>
  <c r="I94" i="10" s="1"/>
  <c r="I95" i="10" s="1"/>
  <c r="I96" i="10" s="1"/>
  <c r="I97" i="10" s="1"/>
  <c r="I89" i="10"/>
  <c r="I90" i="10" s="1"/>
  <c r="I91" i="10" s="1"/>
  <c r="I92" i="10" s="1"/>
  <c r="I192" i="10"/>
  <c r="I193" i="10" s="1"/>
  <c r="I194" i="10" s="1"/>
  <c r="I195" i="10" s="1"/>
  <c r="I196" i="10"/>
  <c r="I197" i="10" s="1"/>
  <c r="I198" i="10" s="1"/>
  <c r="I199" i="10" s="1"/>
  <c r="I200" i="10" s="1"/>
  <c r="L152" i="10"/>
  <c r="M152" i="10" s="1"/>
  <c r="K153" i="10"/>
  <c r="I171" i="10"/>
  <c r="I172" i="10" s="1"/>
  <c r="I173" i="10" s="1"/>
  <c r="I174" i="10" s="1"/>
  <c r="I175" i="10" s="1"/>
  <c r="I167" i="10"/>
  <c r="I168" i="10" s="1"/>
  <c r="I169" i="10" s="1"/>
  <c r="I170" i="10" s="1"/>
  <c r="I143" i="10"/>
  <c r="I144" i="10" s="1"/>
  <c r="I145" i="10" s="1"/>
  <c r="I146" i="10" s="1"/>
  <c r="I147" i="10" s="1"/>
  <c r="I139" i="10"/>
  <c r="I140" i="10" s="1"/>
  <c r="I141" i="10" s="1"/>
  <c r="I142" i="10" s="1"/>
  <c r="K25" i="10"/>
  <c r="L24" i="10"/>
  <c r="M24" i="10" s="1"/>
  <c r="I68" i="10"/>
  <c r="I69" i="10" s="1"/>
  <c r="I70" i="10" s="1"/>
  <c r="I71" i="10" s="1"/>
  <c r="I72" i="10" s="1"/>
  <c r="I64" i="10"/>
  <c r="I65" i="10" s="1"/>
  <c r="I66" i="10" s="1"/>
  <c r="I67" i="10" s="1"/>
  <c r="K179" i="10"/>
  <c r="L178" i="10"/>
  <c r="M178" i="10" s="1"/>
  <c r="F168" i="10"/>
  <c r="F164" i="10"/>
  <c r="L49" i="10"/>
  <c r="M49" i="10" s="1"/>
  <c r="K50" i="10"/>
  <c r="F174" i="10"/>
  <c r="F160" i="10"/>
  <c r="I113" i="10"/>
  <c r="I109" i="10"/>
  <c r="I110" i="10" s="1"/>
  <c r="I111" i="10" s="1"/>
  <c r="I112" i="10" s="1"/>
  <c r="I43" i="10"/>
  <c r="I44" i="10" s="1"/>
  <c r="I45" i="10" s="1"/>
  <c r="I46" i="10" s="1"/>
  <c r="I47" i="10" s="1"/>
  <c r="I39" i="10"/>
  <c r="I40" i="10" s="1"/>
  <c r="I41" i="10" s="1"/>
  <c r="I42" i="10" s="1"/>
  <c r="K101" i="12" l="1"/>
  <c r="L100" i="12"/>
  <c r="M100" i="12" s="1"/>
  <c r="L74" i="11"/>
  <c r="M74" i="11" s="1"/>
  <c r="K75" i="11"/>
  <c r="L25" i="11"/>
  <c r="M25" i="11" s="1"/>
  <c r="K26" i="11"/>
  <c r="F170" i="11"/>
  <c r="L178" i="11"/>
  <c r="M178" i="11" s="1"/>
  <c r="K179" i="11"/>
  <c r="F174" i="11"/>
  <c r="K51" i="11"/>
  <c r="L50" i="11"/>
  <c r="M50" i="11" s="1"/>
  <c r="F164" i="11"/>
  <c r="I118" i="11"/>
  <c r="I119" i="11" s="1"/>
  <c r="I120" i="11" s="1"/>
  <c r="I121" i="11" s="1"/>
  <c r="I122" i="11" s="1"/>
  <c r="I114" i="11"/>
  <c r="I115" i="11" s="1"/>
  <c r="I116" i="11" s="1"/>
  <c r="I117" i="11" s="1"/>
  <c r="F160" i="11"/>
  <c r="K154" i="11"/>
  <c r="L153" i="11"/>
  <c r="M153" i="11" s="1"/>
  <c r="L50" i="10"/>
  <c r="M50" i="10" s="1"/>
  <c r="K51" i="10"/>
  <c r="F169" i="10"/>
  <c r="L25" i="10"/>
  <c r="M25" i="10" s="1"/>
  <c r="K26" i="10"/>
  <c r="K154" i="10"/>
  <c r="L153" i="10"/>
  <c r="M153" i="10" s="1"/>
  <c r="F165" i="10"/>
  <c r="K75" i="10"/>
  <c r="L74" i="10"/>
  <c r="M74" i="10" s="1"/>
  <c r="I118" i="10"/>
  <c r="I119" i="10" s="1"/>
  <c r="I120" i="10" s="1"/>
  <c r="I121" i="10" s="1"/>
  <c r="I122" i="10" s="1"/>
  <c r="I114" i="10"/>
  <c r="I115" i="10" s="1"/>
  <c r="I116" i="10" s="1"/>
  <c r="I117" i="10" s="1"/>
  <c r="F175" i="10"/>
  <c r="K180" i="10"/>
  <c r="L179" i="10"/>
  <c r="M179" i="10" s="1"/>
  <c r="L101" i="12" l="1"/>
  <c r="M101" i="12" s="1"/>
  <c r="K102" i="12"/>
  <c r="L51" i="11"/>
  <c r="M51" i="11" s="1"/>
  <c r="K52" i="11"/>
  <c r="K27" i="11"/>
  <c r="L26" i="11"/>
  <c r="M26" i="11" s="1"/>
  <c r="F175" i="11"/>
  <c r="F165" i="11"/>
  <c r="K180" i="11"/>
  <c r="L179" i="11"/>
  <c r="M179" i="11" s="1"/>
  <c r="K76" i="11"/>
  <c r="L75" i="11"/>
  <c r="M75" i="11" s="1"/>
  <c r="K155" i="11"/>
  <c r="L154" i="11"/>
  <c r="M154" i="11" s="1"/>
  <c r="L180" i="10"/>
  <c r="M180" i="10" s="1"/>
  <c r="K181" i="10"/>
  <c r="L75" i="10"/>
  <c r="M75" i="10" s="1"/>
  <c r="K76" i="10"/>
  <c r="K155" i="10"/>
  <c r="L154" i="10"/>
  <c r="M154" i="10" s="1"/>
  <c r="F170" i="10"/>
  <c r="K27" i="10"/>
  <c r="L26" i="10"/>
  <c r="M26" i="10" s="1"/>
  <c r="K52" i="10"/>
  <c r="L51" i="10"/>
  <c r="M51" i="10" s="1"/>
  <c r="L102" i="12" l="1"/>
  <c r="M102" i="12" s="1"/>
  <c r="K103" i="12"/>
  <c r="K28" i="11"/>
  <c r="L27" i="11"/>
  <c r="M27" i="11" s="1"/>
  <c r="L52" i="11"/>
  <c r="M52" i="11" s="1"/>
  <c r="K53" i="11"/>
  <c r="K77" i="11"/>
  <c r="L76" i="11"/>
  <c r="M76" i="11" s="1"/>
  <c r="K181" i="11"/>
  <c r="L180" i="11"/>
  <c r="M180" i="11" s="1"/>
  <c r="K156" i="11"/>
  <c r="L155" i="11"/>
  <c r="M155" i="11" s="1"/>
  <c r="K53" i="10"/>
  <c r="L52" i="10"/>
  <c r="M52" i="10" s="1"/>
  <c r="L76" i="10"/>
  <c r="M76" i="10" s="1"/>
  <c r="K77" i="10"/>
  <c r="L27" i="10"/>
  <c r="M27" i="10" s="1"/>
  <c r="K28" i="10"/>
  <c r="K156" i="10"/>
  <c r="L155" i="10"/>
  <c r="M155" i="10" s="1"/>
  <c r="L181" i="10"/>
  <c r="M181" i="10" s="1"/>
  <c r="K182" i="10"/>
  <c r="H23" i="2"/>
  <c r="H33" i="10" s="1"/>
  <c r="AO5" i="2"/>
  <c r="U13" i="3"/>
  <c r="U12" i="3"/>
  <c r="U11" i="3"/>
  <c r="F55" i="10" l="1"/>
  <c r="F60" i="10"/>
  <c r="F65" i="10"/>
  <c r="F50" i="10"/>
  <c r="H23" i="10"/>
  <c r="H43" i="10"/>
  <c r="H28" i="10"/>
  <c r="H38" i="10"/>
  <c r="F70" i="10"/>
  <c r="H34" i="10"/>
  <c r="H35" i="10" s="1"/>
  <c r="H36" i="10" s="1"/>
  <c r="H37" i="10" s="1"/>
  <c r="L103" i="12"/>
  <c r="M103" i="12" s="1"/>
  <c r="K104" i="12"/>
  <c r="K78" i="11"/>
  <c r="L77" i="11"/>
  <c r="M77" i="11" s="1"/>
  <c r="L181" i="11"/>
  <c r="M181" i="11" s="1"/>
  <c r="K182" i="11"/>
  <c r="L53" i="11"/>
  <c r="M53" i="11" s="1"/>
  <c r="K54" i="11"/>
  <c r="K29" i="11"/>
  <c r="L28" i="11"/>
  <c r="M28" i="11" s="1"/>
  <c r="L156" i="11"/>
  <c r="M156" i="11" s="1"/>
  <c r="K157" i="11"/>
  <c r="K183" i="10"/>
  <c r="L182" i="10"/>
  <c r="M182" i="10" s="1"/>
  <c r="K157" i="10"/>
  <c r="L156" i="10"/>
  <c r="M156" i="10" s="1"/>
  <c r="K78" i="10"/>
  <c r="L77" i="10"/>
  <c r="M77" i="10" s="1"/>
  <c r="L53" i="10"/>
  <c r="M53" i="10" s="1"/>
  <c r="K54" i="10"/>
  <c r="K29" i="10"/>
  <c r="L28" i="10"/>
  <c r="M28" i="10" s="1"/>
  <c r="V9" i="3"/>
  <c r="H98" i="2"/>
  <c r="F123" i="2" s="1"/>
  <c r="H44" i="10" l="1"/>
  <c r="H45" i="10" s="1"/>
  <c r="H46" i="10" s="1"/>
  <c r="H47" i="10" s="1"/>
  <c r="F72" i="10"/>
  <c r="F57" i="10"/>
  <c r="F52" i="10"/>
  <c r="F62" i="10"/>
  <c r="F67" i="10"/>
  <c r="H33" i="11"/>
  <c r="F58" i="10"/>
  <c r="H24" i="10"/>
  <c r="H25" i="10" s="1"/>
  <c r="H26" i="10" s="1"/>
  <c r="H27" i="10" s="1"/>
  <c r="F68" i="10"/>
  <c r="F48" i="10"/>
  <c r="F63" i="10"/>
  <c r="F53" i="10"/>
  <c r="H39" i="10"/>
  <c r="H40" i="10" s="1"/>
  <c r="H41" i="10" s="1"/>
  <c r="H42" i="10" s="1"/>
  <c r="F71" i="10"/>
  <c r="F66" i="10"/>
  <c r="F61" i="10"/>
  <c r="F56" i="10"/>
  <c r="F51" i="10"/>
  <c r="H29" i="10"/>
  <c r="H30" i="10" s="1"/>
  <c r="H31" i="10" s="1"/>
  <c r="H32" i="10" s="1"/>
  <c r="F54" i="10"/>
  <c r="F49" i="10"/>
  <c r="F59" i="10"/>
  <c r="F69" i="10"/>
  <c r="F64" i="10"/>
  <c r="K105" i="12"/>
  <c r="L104" i="12"/>
  <c r="M104" i="12" s="1"/>
  <c r="L78" i="11"/>
  <c r="M78" i="11" s="1"/>
  <c r="K79" i="11"/>
  <c r="L29" i="11"/>
  <c r="M29" i="11" s="1"/>
  <c r="K30" i="11"/>
  <c r="K158" i="11"/>
  <c r="L157" i="11"/>
  <c r="M157" i="11" s="1"/>
  <c r="K55" i="11"/>
  <c r="L54" i="11"/>
  <c r="M54" i="11" s="1"/>
  <c r="K183" i="11"/>
  <c r="L182" i="11"/>
  <c r="M182" i="11" s="1"/>
  <c r="K158" i="10"/>
  <c r="L157" i="10"/>
  <c r="M157" i="10" s="1"/>
  <c r="L29" i="10"/>
  <c r="M29" i="10" s="1"/>
  <c r="K30" i="10"/>
  <c r="L54" i="10"/>
  <c r="M54" i="10" s="1"/>
  <c r="K55" i="10"/>
  <c r="K79" i="10"/>
  <c r="L78" i="10"/>
  <c r="M78" i="10" s="1"/>
  <c r="K184" i="10"/>
  <c r="L183" i="10"/>
  <c r="M183" i="10" s="1"/>
  <c r="H123" i="2"/>
  <c r="H73" i="2"/>
  <c r="H48" i="2"/>
  <c r="H38" i="11" l="1"/>
  <c r="H33" i="12"/>
  <c r="F65" i="11"/>
  <c r="H34" i="11"/>
  <c r="H35" i="11" s="1"/>
  <c r="H36" i="11" s="1"/>
  <c r="H37" i="11" s="1"/>
  <c r="H23" i="11"/>
  <c r="F70" i="11"/>
  <c r="H28" i="11"/>
  <c r="F55" i="11"/>
  <c r="F50" i="11"/>
  <c r="H43" i="11"/>
  <c r="F60" i="11"/>
  <c r="K106" i="12"/>
  <c r="L105" i="12"/>
  <c r="M105" i="12" s="1"/>
  <c r="L30" i="11"/>
  <c r="M30" i="11" s="1"/>
  <c r="K31" i="11"/>
  <c r="K56" i="11"/>
  <c r="L55" i="11"/>
  <c r="M55" i="11" s="1"/>
  <c r="L158" i="11"/>
  <c r="M158" i="11" s="1"/>
  <c r="K159" i="11"/>
  <c r="L79" i="11"/>
  <c r="M79" i="11" s="1"/>
  <c r="K80" i="11"/>
  <c r="K184" i="11"/>
  <c r="L183" i="11"/>
  <c r="M183" i="11" s="1"/>
  <c r="K185" i="10"/>
  <c r="L184" i="10"/>
  <c r="M184" i="10" s="1"/>
  <c r="K159" i="10"/>
  <c r="L158" i="10"/>
  <c r="M158" i="10" s="1"/>
  <c r="L55" i="10"/>
  <c r="M55" i="10" s="1"/>
  <c r="K56" i="10"/>
  <c r="K80" i="10"/>
  <c r="L79" i="10"/>
  <c r="M79" i="10" s="1"/>
  <c r="L30" i="10"/>
  <c r="M30" i="10" s="1"/>
  <c r="K31" i="10"/>
  <c r="F171" i="2"/>
  <c r="F172" i="2" s="1"/>
  <c r="F173" i="2" s="1"/>
  <c r="F174" i="2" s="1"/>
  <c r="F175" i="2" s="1"/>
  <c r="F166" i="2"/>
  <c r="F167" i="2" s="1"/>
  <c r="F168" i="2" s="1"/>
  <c r="F169" i="2" s="1"/>
  <c r="F170" i="2" s="1"/>
  <c r="F161" i="2"/>
  <c r="F162" i="2" s="1"/>
  <c r="F163" i="2" s="1"/>
  <c r="F164" i="2" s="1"/>
  <c r="F165" i="2" s="1"/>
  <c r="F156" i="2"/>
  <c r="F157" i="2" s="1"/>
  <c r="F158" i="2" s="1"/>
  <c r="F159" i="2" s="1"/>
  <c r="F160" i="2" s="1"/>
  <c r="F151" i="2"/>
  <c r="F143" i="2"/>
  <c r="F138" i="2"/>
  <c r="F133" i="2"/>
  <c r="F128" i="2"/>
  <c r="F118" i="2"/>
  <c r="F113" i="2"/>
  <c r="F108" i="2"/>
  <c r="F103" i="2"/>
  <c r="F98" i="2"/>
  <c r="H176" i="2"/>
  <c r="H181" i="2" s="1"/>
  <c r="H151" i="2"/>
  <c r="H161" i="10" s="1"/>
  <c r="H128" i="2"/>
  <c r="H133" i="2" s="1"/>
  <c r="H124" i="2"/>
  <c r="H125" i="2" s="1"/>
  <c r="H126" i="2" s="1"/>
  <c r="H127" i="2" s="1"/>
  <c r="H99" i="2"/>
  <c r="H100" i="2" s="1"/>
  <c r="H101" i="2" s="1"/>
  <c r="H102" i="2" s="1"/>
  <c r="H78" i="2"/>
  <c r="F109" i="2" s="1"/>
  <c r="F151" i="12" l="1"/>
  <c r="F151" i="10"/>
  <c r="F151" i="11"/>
  <c r="H166" i="10"/>
  <c r="H171" i="10"/>
  <c r="H156" i="10"/>
  <c r="H151" i="10"/>
  <c r="H161" i="11"/>
  <c r="H162" i="10"/>
  <c r="F198" i="10"/>
  <c r="F178" i="10"/>
  <c r="F183" i="10"/>
  <c r="F193" i="10"/>
  <c r="J161" i="10"/>
  <c r="F188" i="10"/>
  <c r="F152" i="2"/>
  <c r="F153" i="2" s="1"/>
  <c r="F154" i="2" s="1"/>
  <c r="F155" i="2" s="1"/>
  <c r="H186" i="12"/>
  <c r="H186" i="11"/>
  <c r="H186" i="10"/>
  <c r="H29" i="11"/>
  <c r="H30" i="11" s="1"/>
  <c r="H31" i="11" s="1"/>
  <c r="H32" i="11" s="1"/>
  <c r="F69" i="11"/>
  <c r="F64" i="11"/>
  <c r="F59" i="11"/>
  <c r="F49" i="11"/>
  <c r="F54" i="11"/>
  <c r="F72" i="11"/>
  <c r="F62" i="11"/>
  <c r="H44" i="11"/>
  <c r="H45" i="11" s="1"/>
  <c r="H46" i="11" s="1"/>
  <c r="H47" i="11" s="1"/>
  <c r="F67" i="11"/>
  <c r="F57" i="11"/>
  <c r="F52" i="11"/>
  <c r="F50" i="12"/>
  <c r="F65" i="12"/>
  <c r="H38" i="12"/>
  <c r="F70" i="12"/>
  <c r="H28" i="12"/>
  <c r="H43" i="12"/>
  <c r="H34" i="12"/>
  <c r="H35" i="12" s="1"/>
  <c r="H36" i="12" s="1"/>
  <c r="H37" i="12" s="1"/>
  <c r="F55" i="12"/>
  <c r="F60" i="12"/>
  <c r="H23" i="12"/>
  <c r="F48" i="11"/>
  <c r="F58" i="11"/>
  <c r="F68" i="11"/>
  <c r="F63" i="11"/>
  <c r="H24" i="11"/>
  <c r="H25" i="11" s="1"/>
  <c r="H26" i="11" s="1"/>
  <c r="H27" i="11" s="1"/>
  <c r="F53" i="11"/>
  <c r="H39" i="11"/>
  <c r="H40" i="11" s="1"/>
  <c r="H41" i="11" s="1"/>
  <c r="H42" i="11" s="1"/>
  <c r="F61" i="11"/>
  <c r="F51" i="11"/>
  <c r="F71" i="11"/>
  <c r="F66" i="11"/>
  <c r="F56" i="11"/>
  <c r="L106" i="12"/>
  <c r="M106" i="12" s="1"/>
  <c r="K107" i="12"/>
  <c r="L184" i="11"/>
  <c r="M184" i="11" s="1"/>
  <c r="K185" i="11"/>
  <c r="L56" i="11"/>
  <c r="M56" i="11" s="1"/>
  <c r="K57" i="11"/>
  <c r="L80" i="11"/>
  <c r="M80" i="11" s="1"/>
  <c r="K81" i="11"/>
  <c r="K160" i="11"/>
  <c r="L159" i="11"/>
  <c r="M159" i="11" s="1"/>
  <c r="L31" i="11"/>
  <c r="M31" i="11" s="1"/>
  <c r="K32" i="11"/>
  <c r="K160" i="10"/>
  <c r="L159" i="10"/>
  <c r="M159" i="10" s="1"/>
  <c r="K57" i="10"/>
  <c r="L56" i="10"/>
  <c r="M56" i="10" s="1"/>
  <c r="L80" i="10"/>
  <c r="M80" i="10" s="1"/>
  <c r="K81" i="10"/>
  <c r="K186" i="10"/>
  <c r="L185" i="10"/>
  <c r="M185" i="10" s="1"/>
  <c r="L31" i="10"/>
  <c r="M31" i="10" s="1"/>
  <c r="K32" i="10"/>
  <c r="H156" i="2"/>
  <c r="F192" i="2" s="1"/>
  <c r="F177" i="2"/>
  <c r="F181" i="2"/>
  <c r="F182" i="2"/>
  <c r="F186" i="2"/>
  <c r="F191" i="2"/>
  <c r="F104" i="2"/>
  <c r="F176" i="2"/>
  <c r="F196" i="2"/>
  <c r="F73" i="2"/>
  <c r="J73" i="2" s="1"/>
  <c r="N73" i="2" s="1"/>
  <c r="F114" i="2"/>
  <c r="F99" i="2"/>
  <c r="F119" i="2"/>
  <c r="H186" i="2"/>
  <c r="H182" i="2"/>
  <c r="H183" i="2" s="1"/>
  <c r="H184" i="2" s="1"/>
  <c r="H185" i="2" s="1"/>
  <c r="H177" i="2"/>
  <c r="H178" i="2" s="1"/>
  <c r="H179" i="2" s="1"/>
  <c r="H180" i="2" s="1"/>
  <c r="H152" i="2"/>
  <c r="H153" i="2" s="1"/>
  <c r="H154" i="2" s="1"/>
  <c r="H155" i="2" s="1"/>
  <c r="H138" i="2"/>
  <c r="H134" i="2"/>
  <c r="H135" i="2" s="1"/>
  <c r="H136" i="2" s="1"/>
  <c r="H129" i="2"/>
  <c r="H130" i="2" s="1"/>
  <c r="H131" i="2" s="1"/>
  <c r="H132" i="2" s="1"/>
  <c r="H103" i="2"/>
  <c r="H83" i="2"/>
  <c r="H79" i="2"/>
  <c r="H80" i="2" s="1"/>
  <c r="H81" i="2" s="1"/>
  <c r="H82" i="2" s="1"/>
  <c r="H74" i="2"/>
  <c r="H75" i="2" s="1"/>
  <c r="H76" i="2" s="1"/>
  <c r="H77" i="2" s="1"/>
  <c r="J151" i="2"/>
  <c r="I177" i="2"/>
  <c r="I178" i="2" s="1"/>
  <c r="I179" i="2" s="1"/>
  <c r="I180" i="2" s="1"/>
  <c r="I181" i="2" s="1"/>
  <c r="I182" i="2" s="1"/>
  <c r="I183" i="2" s="1"/>
  <c r="I184" i="2" s="1"/>
  <c r="I185" i="2" s="1"/>
  <c r="I186" i="2" s="1"/>
  <c r="I152" i="2"/>
  <c r="I124" i="2"/>
  <c r="I125" i="2" s="1"/>
  <c r="I126" i="2" s="1"/>
  <c r="I127" i="2" s="1"/>
  <c r="I128" i="2" s="1"/>
  <c r="I129" i="2" s="1"/>
  <c r="I130" i="2" s="1"/>
  <c r="I131" i="2" s="1"/>
  <c r="I132" i="2" s="1"/>
  <c r="I133" i="2" s="1"/>
  <c r="I74" i="2"/>
  <c r="I75" i="2" s="1"/>
  <c r="I76" i="2" s="1"/>
  <c r="I77" i="2" s="1"/>
  <c r="I78" i="2" s="1"/>
  <c r="I79" i="2" s="1"/>
  <c r="I80" i="2" s="1"/>
  <c r="I81" i="2" s="1"/>
  <c r="I82" i="2" s="1"/>
  <c r="I83" i="2" s="1"/>
  <c r="I49" i="2"/>
  <c r="I50" i="2" s="1"/>
  <c r="I51" i="2" s="1"/>
  <c r="I52" i="2" s="1"/>
  <c r="I53" i="2" s="1"/>
  <c r="I54" i="2" s="1"/>
  <c r="I55" i="2" s="1"/>
  <c r="I56" i="2" s="1"/>
  <c r="I57" i="2" s="1"/>
  <c r="I58" i="2" s="1"/>
  <c r="H53" i="2"/>
  <c r="H58" i="10" s="1"/>
  <c r="H172" i="10" l="1"/>
  <c r="F180" i="10"/>
  <c r="J171" i="10"/>
  <c r="F200" i="10"/>
  <c r="F185" i="10"/>
  <c r="F195" i="10"/>
  <c r="F190" i="10"/>
  <c r="H39" i="12"/>
  <c r="H40" i="12" s="1"/>
  <c r="H41" i="12" s="1"/>
  <c r="H42" i="12" s="1"/>
  <c r="F61" i="12"/>
  <c r="F71" i="12"/>
  <c r="F56" i="12"/>
  <c r="F51" i="12"/>
  <c r="F66" i="12"/>
  <c r="H181" i="10"/>
  <c r="H191" i="10"/>
  <c r="H192" i="10" s="1"/>
  <c r="H193" i="10" s="1"/>
  <c r="H194" i="10" s="1"/>
  <c r="H195" i="10" s="1"/>
  <c r="H196" i="10"/>
  <c r="H197" i="10" s="1"/>
  <c r="H198" i="10" s="1"/>
  <c r="H199" i="10" s="1"/>
  <c r="H200" i="10" s="1"/>
  <c r="H187" i="10"/>
  <c r="H188" i="10" s="1"/>
  <c r="H189" i="10" s="1"/>
  <c r="H190" i="10" s="1"/>
  <c r="H176" i="10"/>
  <c r="H177" i="10" s="1"/>
  <c r="H178" i="10" s="1"/>
  <c r="H179" i="10" s="1"/>
  <c r="H180" i="10" s="1"/>
  <c r="H162" i="11"/>
  <c r="H171" i="11"/>
  <c r="J161" i="11"/>
  <c r="F183" i="11"/>
  <c r="H151" i="11"/>
  <c r="H156" i="11"/>
  <c r="H166" i="11"/>
  <c r="F178" i="11"/>
  <c r="F188" i="11"/>
  <c r="H161" i="12"/>
  <c r="F193" i="11"/>
  <c r="F198" i="11"/>
  <c r="H167" i="10"/>
  <c r="F189" i="10"/>
  <c r="J189" i="10" s="1"/>
  <c r="F179" i="10"/>
  <c r="J179" i="10" s="1"/>
  <c r="N179" i="10" s="1"/>
  <c r="O179" i="10" s="1"/>
  <c r="P179" i="10" s="1"/>
  <c r="F199" i="10"/>
  <c r="F184" i="10"/>
  <c r="J166" i="10"/>
  <c r="F194" i="10"/>
  <c r="F152" i="12"/>
  <c r="H163" i="10"/>
  <c r="J162" i="10"/>
  <c r="H157" i="2"/>
  <c r="H158" i="2" s="1"/>
  <c r="H159" i="2" s="1"/>
  <c r="H160" i="2" s="1"/>
  <c r="F197" i="2"/>
  <c r="H24" i="12"/>
  <c r="H25" i="12" s="1"/>
  <c r="H26" i="12" s="1"/>
  <c r="H27" i="12" s="1"/>
  <c r="F58" i="12"/>
  <c r="F63" i="12"/>
  <c r="F68" i="12"/>
  <c r="F48" i="12"/>
  <c r="F53" i="12"/>
  <c r="F62" i="12"/>
  <c r="F52" i="12"/>
  <c r="F57" i="12"/>
  <c r="H44" i="12"/>
  <c r="H45" i="12" s="1"/>
  <c r="H46" i="12" s="1"/>
  <c r="H47" i="12" s="1"/>
  <c r="F72" i="12"/>
  <c r="F67" i="12"/>
  <c r="H196" i="11"/>
  <c r="H197" i="11" s="1"/>
  <c r="H198" i="11" s="1"/>
  <c r="H199" i="11" s="1"/>
  <c r="H200" i="11" s="1"/>
  <c r="H191" i="11"/>
  <c r="H192" i="11" s="1"/>
  <c r="H193" i="11" s="1"/>
  <c r="H194" i="11" s="1"/>
  <c r="H195" i="11" s="1"/>
  <c r="H187" i="11"/>
  <c r="H188" i="11" s="1"/>
  <c r="H189" i="11" s="1"/>
  <c r="H190" i="11" s="1"/>
  <c r="H176" i="11"/>
  <c r="H177" i="11" s="1"/>
  <c r="H178" i="11" s="1"/>
  <c r="H179" i="11" s="1"/>
  <c r="H180" i="11" s="1"/>
  <c r="J188" i="10"/>
  <c r="J178" i="10"/>
  <c r="N178" i="10" s="1"/>
  <c r="O178" i="10" s="1"/>
  <c r="P178" i="10" s="1"/>
  <c r="F181" i="10"/>
  <c r="J181" i="10" s="1"/>
  <c r="N181" i="10" s="1"/>
  <c r="O181" i="10" s="1"/>
  <c r="F186" i="10"/>
  <c r="J186" i="10" s="1"/>
  <c r="H152" i="10"/>
  <c r="H153" i="10" s="1"/>
  <c r="H154" i="10" s="1"/>
  <c r="H155" i="10" s="1"/>
  <c r="F196" i="10"/>
  <c r="J196" i="10" s="1"/>
  <c r="F176" i="10"/>
  <c r="J176" i="10" s="1"/>
  <c r="N176" i="10" s="1"/>
  <c r="F191" i="10"/>
  <c r="J151" i="10"/>
  <c r="N151" i="10" s="1"/>
  <c r="O151" i="10" s="1"/>
  <c r="F152" i="10"/>
  <c r="H48" i="10"/>
  <c r="H63" i="10"/>
  <c r="F75" i="10"/>
  <c r="H53" i="10"/>
  <c r="H68" i="10"/>
  <c r="H59" i="10"/>
  <c r="J58" i="10"/>
  <c r="H161" i="2"/>
  <c r="F198" i="2" s="1"/>
  <c r="F187" i="2"/>
  <c r="F49" i="12"/>
  <c r="F64" i="12"/>
  <c r="H29" i="12"/>
  <c r="H30" i="12" s="1"/>
  <c r="H31" i="12" s="1"/>
  <c r="H32" i="12" s="1"/>
  <c r="F54" i="12"/>
  <c r="F69" i="12"/>
  <c r="F59" i="12"/>
  <c r="H191" i="12"/>
  <c r="H192" i="12" s="1"/>
  <c r="H193" i="12" s="1"/>
  <c r="H194" i="12" s="1"/>
  <c r="H195" i="12" s="1"/>
  <c r="H187" i="12"/>
  <c r="H188" i="12" s="1"/>
  <c r="H189" i="12" s="1"/>
  <c r="H190" i="12" s="1"/>
  <c r="H196" i="12"/>
  <c r="H197" i="12" s="1"/>
  <c r="H198" i="12" s="1"/>
  <c r="H199" i="12" s="1"/>
  <c r="H200" i="12" s="1"/>
  <c r="H176" i="12"/>
  <c r="H177" i="12" s="1"/>
  <c r="H178" i="12" s="1"/>
  <c r="H179" i="12" s="1"/>
  <c r="H180" i="12" s="1"/>
  <c r="J198" i="10"/>
  <c r="H157" i="10"/>
  <c r="F197" i="10"/>
  <c r="F177" i="10"/>
  <c r="J177" i="10" s="1"/>
  <c r="N177" i="10" s="1"/>
  <c r="O177" i="10" s="1"/>
  <c r="P177" i="10" s="1"/>
  <c r="F192" i="10"/>
  <c r="J156" i="10"/>
  <c r="N156" i="10" s="1"/>
  <c r="O156" i="10" s="1"/>
  <c r="P156" i="10" s="1"/>
  <c r="F187" i="10"/>
  <c r="J187" i="10" s="1"/>
  <c r="F182" i="10"/>
  <c r="F152" i="11"/>
  <c r="J151" i="11"/>
  <c r="N151" i="11" s="1"/>
  <c r="O151" i="11" s="1"/>
  <c r="L107" i="12"/>
  <c r="M107" i="12" s="1"/>
  <c r="K108" i="12"/>
  <c r="L32" i="11"/>
  <c r="M32" i="11" s="1"/>
  <c r="K33" i="11"/>
  <c r="L160" i="11"/>
  <c r="M160" i="11" s="1"/>
  <c r="K161" i="11"/>
  <c r="K82" i="11"/>
  <c r="L81" i="11"/>
  <c r="M81" i="11" s="1"/>
  <c r="K186" i="11"/>
  <c r="L185" i="11"/>
  <c r="M185" i="11" s="1"/>
  <c r="L57" i="11"/>
  <c r="M57" i="11" s="1"/>
  <c r="K58" i="11"/>
  <c r="O73" i="2"/>
  <c r="AK73" i="2"/>
  <c r="K58" i="10"/>
  <c r="L57" i="10"/>
  <c r="M57" i="10" s="1"/>
  <c r="K161" i="10"/>
  <c r="L160" i="10"/>
  <c r="M160" i="10" s="1"/>
  <c r="L32" i="10"/>
  <c r="M32" i="10" s="1"/>
  <c r="K33" i="10"/>
  <c r="K191" i="10"/>
  <c r="K187" i="10"/>
  <c r="L186" i="10"/>
  <c r="M186" i="10" s="1"/>
  <c r="N186" i="10" s="1"/>
  <c r="L81" i="10"/>
  <c r="M81" i="10" s="1"/>
  <c r="K82" i="10"/>
  <c r="F74" i="2"/>
  <c r="H137" i="2"/>
  <c r="I153" i="2"/>
  <c r="J152" i="2"/>
  <c r="N152" i="2" s="1"/>
  <c r="F193" i="2"/>
  <c r="F139" i="2"/>
  <c r="F134" i="2"/>
  <c r="F144" i="2"/>
  <c r="F124" i="2"/>
  <c r="F129" i="2"/>
  <c r="F105" i="2"/>
  <c r="F115" i="2"/>
  <c r="F110" i="2"/>
  <c r="F120" i="2"/>
  <c r="F100" i="2"/>
  <c r="H58" i="2"/>
  <c r="F75" i="2" s="1"/>
  <c r="H191" i="2"/>
  <c r="H187" i="2"/>
  <c r="H188" i="2" s="1"/>
  <c r="H166" i="2"/>
  <c r="H143" i="2"/>
  <c r="H139" i="2"/>
  <c r="H108" i="2"/>
  <c r="H104" i="2"/>
  <c r="H105" i="2" s="1"/>
  <c r="H88" i="2"/>
  <c r="H84" i="2"/>
  <c r="H83" i="10" s="1"/>
  <c r="Q73" i="2"/>
  <c r="I191" i="2"/>
  <c r="I187" i="2"/>
  <c r="I188" i="2" s="1"/>
  <c r="I189" i="2" s="1"/>
  <c r="I190" i="2" s="1"/>
  <c r="I138" i="2"/>
  <c r="J138" i="2" s="1"/>
  <c r="I134" i="2"/>
  <c r="I135" i="2" s="1"/>
  <c r="I136" i="2" s="1"/>
  <c r="I137" i="2" s="1"/>
  <c r="I88" i="2"/>
  <c r="I84" i="2"/>
  <c r="I85" i="2" s="1"/>
  <c r="I86" i="2" s="1"/>
  <c r="I87" i="2" s="1"/>
  <c r="I63" i="2"/>
  <c r="I59" i="2"/>
  <c r="I60" i="2" s="1"/>
  <c r="I61" i="2" s="1"/>
  <c r="I62" i="2" s="1"/>
  <c r="H54" i="2"/>
  <c r="F43" i="2"/>
  <c r="F44" i="2" s="1"/>
  <c r="F45" i="2" s="1"/>
  <c r="F46" i="2" s="1"/>
  <c r="F47" i="2" s="1"/>
  <c r="F38" i="2"/>
  <c r="F39" i="2" s="1"/>
  <c r="F40" i="2" s="1"/>
  <c r="F41" i="2" s="1"/>
  <c r="F42" i="2" s="1"/>
  <c r="F33" i="2"/>
  <c r="F34" i="2" s="1"/>
  <c r="F35" i="2" s="1"/>
  <c r="F36" i="2" s="1"/>
  <c r="F37" i="2" s="1"/>
  <c r="F28" i="2"/>
  <c r="F29" i="2" s="1"/>
  <c r="F30" i="2" s="1"/>
  <c r="F31" i="2" s="1"/>
  <c r="F32" i="2" s="1"/>
  <c r="J197" i="10" l="1"/>
  <c r="J199" i="10"/>
  <c r="J198" i="11"/>
  <c r="J178" i="11"/>
  <c r="N178" i="11" s="1"/>
  <c r="O178" i="11" s="1"/>
  <c r="P178" i="11" s="1"/>
  <c r="Q178" i="11" s="1"/>
  <c r="R178" i="11" s="1"/>
  <c r="S178" i="11" s="1"/>
  <c r="T178" i="11" s="1"/>
  <c r="U73" i="2"/>
  <c r="P73" i="2"/>
  <c r="Q178" i="10"/>
  <c r="R178" i="10" s="1"/>
  <c r="S178" i="10" s="1"/>
  <c r="T178" i="10" s="1"/>
  <c r="F153" i="10"/>
  <c r="J152" i="10"/>
  <c r="N152" i="10" s="1"/>
  <c r="F153" i="12"/>
  <c r="F183" i="2"/>
  <c r="J183" i="2" s="1"/>
  <c r="N183" i="2" s="1"/>
  <c r="P151" i="11"/>
  <c r="Q151" i="11" s="1"/>
  <c r="R151" i="11" s="1"/>
  <c r="S151" i="11" s="1"/>
  <c r="T151" i="11" s="1"/>
  <c r="U151" i="11" s="1"/>
  <c r="Q156" i="10"/>
  <c r="R156" i="10" s="1"/>
  <c r="S156" i="10" s="1"/>
  <c r="T156" i="10" s="1"/>
  <c r="H158" i="10"/>
  <c r="J157" i="10"/>
  <c r="N157" i="10" s="1"/>
  <c r="O157" i="10" s="1"/>
  <c r="P157" i="10" s="1"/>
  <c r="P151" i="10"/>
  <c r="Q151" i="10" s="1"/>
  <c r="R151" i="10" s="1"/>
  <c r="S151" i="10" s="1"/>
  <c r="T151" i="10" s="1"/>
  <c r="J194" i="10"/>
  <c r="Q179" i="10"/>
  <c r="R179" i="10" s="1"/>
  <c r="S179" i="10" s="1"/>
  <c r="T179" i="10" s="1"/>
  <c r="J193" i="11"/>
  <c r="F199" i="11"/>
  <c r="J199" i="11" s="1"/>
  <c r="F179" i="11"/>
  <c r="J179" i="11" s="1"/>
  <c r="N179" i="11" s="1"/>
  <c r="O179" i="11" s="1"/>
  <c r="F194" i="11"/>
  <c r="J194" i="11" s="1"/>
  <c r="H167" i="11"/>
  <c r="F189" i="11"/>
  <c r="J189" i="11" s="1"/>
  <c r="J166" i="11"/>
  <c r="F184" i="11"/>
  <c r="H182" i="10"/>
  <c r="H183" i="10" s="1"/>
  <c r="H181" i="11"/>
  <c r="J200" i="10"/>
  <c r="H93" i="10"/>
  <c r="H88" i="10"/>
  <c r="H73" i="10"/>
  <c r="H84" i="10"/>
  <c r="H85" i="10" s="1"/>
  <c r="H86" i="10" s="1"/>
  <c r="H87" i="10" s="1"/>
  <c r="F110" i="10"/>
  <c r="F100" i="10"/>
  <c r="F105" i="10"/>
  <c r="F120" i="10"/>
  <c r="H78" i="10"/>
  <c r="F115" i="10"/>
  <c r="F178" i="2"/>
  <c r="J178" i="2" s="1"/>
  <c r="N178" i="2" s="1"/>
  <c r="O178" i="2" s="1"/>
  <c r="F188" i="2"/>
  <c r="F153" i="11"/>
  <c r="J192" i="10"/>
  <c r="H60" i="10"/>
  <c r="F80" i="10"/>
  <c r="J59" i="10"/>
  <c r="H64" i="10"/>
  <c r="F76" i="10"/>
  <c r="J63" i="10"/>
  <c r="J193" i="10"/>
  <c r="J191" i="10"/>
  <c r="H164" i="10"/>
  <c r="J163" i="10"/>
  <c r="F178" i="12"/>
  <c r="J178" i="12" s="1"/>
  <c r="N178" i="12" s="1"/>
  <c r="F193" i="12"/>
  <c r="J193" i="12" s="1"/>
  <c r="N193" i="12" s="1"/>
  <c r="F183" i="12"/>
  <c r="H151" i="12"/>
  <c r="H171" i="12"/>
  <c r="F198" i="12"/>
  <c r="J198" i="12" s="1"/>
  <c r="N198" i="12" s="1"/>
  <c r="H156" i="12"/>
  <c r="F188" i="12"/>
  <c r="J188" i="12" s="1"/>
  <c r="N188" i="12" s="1"/>
  <c r="J161" i="12"/>
  <c r="N161" i="12" s="1"/>
  <c r="H162" i="12"/>
  <c r="H166" i="12"/>
  <c r="F182" i="11"/>
  <c r="F197" i="11"/>
  <c r="J197" i="11" s="1"/>
  <c r="J156" i="11"/>
  <c r="N156" i="11" s="1"/>
  <c r="O156" i="11" s="1"/>
  <c r="F192" i="11"/>
  <c r="J192" i="11" s="1"/>
  <c r="F187" i="11"/>
  <c r="J187" i="11" s="1"/>
  <c r="F177" i="11"/>
  <c r="J177" i="11" s="1"/>
  <c r="N177" i="11" s="1"/>
  <c r="O177" i="11" s="1"/>
  <c r="H157" i="11"/>
  <c r="F190" i="11"/>
  <c r="J190" i="11" s="1"/>
  <c r="J171" i="11"/>
  <c r="F180" i="11"/>
  <c r="J180" i="11" s="1"/>
  <c r="N180" i="11" s="1"/>
  <c r="F185" i="11"/>
  <c r="F200" i="11"/>
  <c r="J200" i="11" s="1"/>
  <c r="F195" i="11"/>
  <c r="J195" i="11" s="1"/>
  <c r="H172" i="11"/>
  <c r="J190" i="10"/>
  <c r="H58" i="11"/>
  <c r="H54" i="10"/>
  <c r="F74" i="10"/>
  <c r="J53" i="10"/>
  <c r="N53" i="10" s="1"/>
  <c r="O53" i="10" s="1"/>
  <c r="H173" i="10"/>
  <c r="J172" i="10"/>
  <c r="H162" i="2"/>
  <c r="H163" i="2" s="1"/>
  <c r="Q177" i="10"/>
  <c r="R177" i="10" s="1"/>
  <c r="S177" i="10" s="1"/>
  <c r="T177" i="10" s="1"/>
  <c r="F77" i="10"/>
  <c r="H69" i="10"/>
  <c r="J68" i="10"/>
  <c r="F73" i="10"/>
  <c r="H49" i="10"/>
  <c r="J48" i="10"/>
  <c r="N48" i="10" s="1"/>
  <c r="O48" i="10" s="1"/>
  <c r="O176" i="10"/>
  <c r="P176" i="10" s="1"/>
  <c r="P181" i="10"/>
  <c r="H168" i="10"/>
  <c r="J167" i="10"/>
  <c r="J188" i="11"/>
  <c r="F186" i="11"/>
  <c r="J186" i="11" s="1"/>
  <c r="F191" i="11"/>
  <c r="J191" i="11" s="1"/>
  <c r="F176" i="11"/>
  <c r="J176" i="11" s="1"/>
  <c r="N176" i="11" s="1"/>
  <c r="O176" i="11" s="1"/>
  <c r="H152" i="11"/>
  <c r="H153" i="11" s="1"/>
  <c r="H154" i="11" s="1"/>
  <c r="H155" i="11" s="1"/>
  <c r="F181" i="11"/>
  <c r="F196" i="11"/>
  <c r="J196" i="11" s="1"/>
  <c r="H163" i="11"/>
  <c r="J162" i="11"/>
  <c r="N162" i="11" s="1"/>
  <c r="J195" i="10"/>
  <c r="J180" i="10"/>
  <c r="N180" i="10" s="1"/>
  <c r="K113" i="12"/>
  <c r="K109" i="12"/>
  <c r="L108" i="12"/>
  <c r="M108" i="12" s="1"/>
  <c r="L58" i="11"/>
  <c r="M58" i="11" s="1"/>
  <c r="K59" i="11"/>
  <c r="K63" i="11"/>
  <c r="K38" i="11"/>
  <c r="K34" i="11"/>
  <c r="L33" i="11"/>
  <c r="M33" i="11" s="1"/>
  <c r="L186" i="11"/>
  <c r="M186" i="11" s="1"/>
  <c r="K191" i="11"/>
  <c r="K187" i="11"/>
  <c r="K83" i="11"/>
  <c r="L82" i="11"/>
  <c r="M82" i="11" s="1"/>
  <c r="K166" i="11"/>
  <c r="K162" i="11"/>
  <c r="L161" i="11"/>
  <c r="M161" i="11" s="1"/>
  <c r="N161" i="11" s="1"/>
  <c r="O152" i="2"/>
  <c r="U152" i="2" s="1"/>
  <c r="AK152" i="2"/>
  <c r="O183" i="2"/>
  <c r="U183" i="2" s="1"/>
  <c r="AK183" i="2"/>
  <c r="L33" i="10"/>
  <c r="M33" i="10" s="1"/>
  <c r="K38" i="10"/>
  <c r="K34" i="10"/>
  <c r="L161" i="10"/>
  <c r="M161" i="10" s="1"/>
  <c r="N161" i="10" s="1"/>
  <c r="K166" i="10"/>
  <c r="K162" i="10"/>
  <c r="K63" i="10"/>
  <c r="L58" i="10"/>
  <c r="M58" i="10" s="1"/>
  <c r="N58" i="10" s="1"/>
  <c r="K59" i="10"/>
  <c r="K83" i="10"/>
  <c r="L82" i="10"/>
  <c r="M82" i="10" s="1"/>
  <c r="O186" i="10"/>
  <c r="K188" i="10"/>
  <c r="L187" i="10"/>
  <c r="M187" i="10" s="1"/>
  <c r="N187" i="10" s="1"/>
  <c r="K196" i="10"/>
  <c r="L191" i="10"/>
  <c r="M191" i="10" s="1"/>
  <c r="N191" i="10" s="1"/>
  <c r="K192" i="10"/>
  <c r="H85" i="2"/>
  <c r="H86" i="2" s="1"/>
  <c r="H87" i="2" s="1"/>
  <c r="S73" i="2"/>
  <c r="T73" i="2" s="1"/>
  <c r="Q152" i="2"/>
  <c r="F94" i="2"/>
  <c r="F79" i="2"/>
  <c r="P183" i="2"/>
  <c r="R183" i="2" s="1"/>
  <c r="I154" i="2"/>
  <c r="J153" i="2"/>
  <c r="N153" i="2" s="1"/>
  <c r="AK153" i="2" s="1"/>
  <c r="F184" i="2"/>
  <c r="J184" i="2" s="1"/>
  <c r="N184" i="2" s="1"/>
  <c r="AK184" i="2" s="1"/>
  <c r="F189" i="2"/>
  <c r="F199" i="2"/>
  <c r="F179" i="2"/>
  <c r="J179" i="2" s="1"/>
  <c r="N179" i="2" s="1"/>
  <c r="AK179" i="2" s="1"/>
  <c r="F194" i="2"/>
  <c r="F135" i="2"/>
  <c r="J135" i="2" s="1"/>
  <c r="F130" i="2"/>
  <c r="J130" i="2" s="1"/>
  <c r="F145" i="2"/>
  <c r="F125" i="2"/>
  <c r="J125" i="2" s="1"/>
  <c r="F140" i="2"/>
  <c r="F121" i="2"/>
  <c r="F101" i="2"/>
  <c r="F116" i="2"/>
  <c r="F111" i="2"/>
  <c r="F106" i="2"/>
  <c r="H55" i="2"/>
  <c r="H59" i="2"/>
  <c r="F80" i="2" s="1"/>
  <c r="H63" i="2"/>
  <c r="F76" i="2" s="1"/>
  <c r="H189" i="2"/>
  <c r="J188" i="2"/>
  <c r="N188" i="2" s="1"/>
  <c r="AK188" i="2" s="1"/>
  <c r="H196" i="2"/>
  <c r="H192" i="2"/>
  <c r="J191" i="2"/>
  <c r="H171" i="2"/>
  <c r="H167" i="2"/>
  <c r="H140" i="2"/>
  <c r="H144" i="2"/>
  <c r="H106" i="2"/>
  <c r="H113" i="2"/>
  <c r="H109" i="2"/>
  <c r="H110" i="2" s="1"/>
  <c r="H93" i="2"/>
  <c r="H89" i="2"/>
  <c r="H90" i="2" s="1"/>
  <c r="H91" i="2" s="1"/>
  <c r="H92" i="2" s="1"/>
  <c r="R73" i="2"/>
  <c r="I196" i="2"/>
  <c r="I197" i="2" s="1"/>
  <c r="I198" i="2" s="1"/>
  <c r="I199" i="2" s="1"/>
  <c r="I200" i="2" s="1"/>
  <c r="I192" i="2"/>
  <c r="I193" i="2" s="1"/>
  <c r="I194" i="2" s="1"/>
  <c r="I195" i="2" s="1"/>
  <c r="I143" i="2"/>
  <c r="I144" i="2" s="1"/>
  <c r="I145" i="2" s="1"/>
  <c r="I146" i="2" s="1"/>
  <c r="I147" i="2" s="1"/>
  <c r="I139" i="2"/>
  <c r="I140" i="2" s="1"/>
  <c r="I141" i="2" s="1"/>
  <c r="I142" i="2" s="1"/>
  <c r="I93" i="2"/>
  <c r="I94" i="2" s="1"/>
  <c r="I95" i="2" s="1"/>
  <c r="I96" i="2" s="1"/>
  <c r="I97" i="2" s="1"/>
  <c r="I89" i="2"/>
  <c r="I90" i="2" s="1"/>
  <c r="I91" i="2" s="1"/>
  <c r="I92" i="2" s="1"/>
  <c r="I68" i="2"/>
  <c r="I69" i="2" s="1"/>
  <c r="I70" i="2" s="1"/>
  <c r="I71" i="2" s="1"/>
  <c r="I72" i="2" s="1"/>
  <c r="I64" i="2"/>
  <c r="I65" i="2" s="1"/>
  <c r="I66" i="2" s="1"/>
  <c r="I67" i="2" s="1"/>
  <c r="J181" i="11" l="1"/>
  <c r="N181" i="11" s="1"/>
  <c r="O181" i="11" s="1"/>
  <c r="U157" i="10"/>
  <c r="J182" i="10"/>
  <c r="N182" i="10" s="1"/>
  <c r="O182" i="10" s="1"/>
  <c r="P182" i="10" s="1"/>
  <c r="Q182" i="10" s="1"/>
  <c r="R182" i="10" s="1"/>
  <c r="S182" i="10" s="1"/>
  <c r="T182" i="10" s="1"/>
  <c r="Q183" i="2"/>
  <c r="P152" i="2"/>
  <c r="R152" i="2" s="1"/>
  <c r="J152" i="11"/>
  <c r="N152" i="11" s="1"/>
  <c r="U179" i="10"/>
  <c r="V179" i="10" s="1"/>
  <c r="AA179" i="10"/>
  <c r="AD179" i="10" s="1"/>
  <c r="AG179" i="10" s="1"/>
  <c r="U178" i="10"/>
  <c r="U156" i="10"/>
  <c r="V156" i="10" s="1"/>
  <c r="U178" i="2"/>
  <c r="P178" i="2"/>
  <c r="Q178" i="2"/>
  <c r="Q181" i="10"/>
  <c r="R181" i="10"/>
  <c r="S181" i="10" s="1"/>
  <c r="T181" i="10" s="1"/>
  <c r="P53" i="10"/>
  <c r="O188" i="12"/>
  <c r="F85" i="10"/>
  <c r="J85" i="10" s="1"/>
  <c r="F90" i="10"/>
  <c r="F95" i="10"/>
  <c r="H61" i="10"/>
  <c r="J60" i="10"/>
  <c r="F113" i="10"/>
  <c r="F118" i="10"/>
  <c r="F108" i="10"/>
  <c r="F98" i="10"/>
  <c r="F103" i="10"/>
  <c r="H74" i="10"/>
  <c r="AK162" i="11"/>
  <c r="O162" i="11"/>
  <c r="J73" i="10"/>
  <c r="N73" i="10" s="1"/>
  <c r="O73" i="10" s="1"/>
  <c r="P73" i="10" s="1"/>
  <c r="J74" i="10"/>
  <c r="N74" i="10" s="1"/>
  <c r="O74" i="10" s="1"/>
  <c r="P74" i="10" s="1"/>
  <c r="F184" i="12"/>
  <c r="F189" i="12"/>
  <c r="J189" i="12" s="1"/>
  <c r="N189" i="12" s="1"/>
  <c r="F179" i="12"/>
  <c r="J179" i="12" s="1"/>
  <c r="N179" i="12" s="1"/>
  <c r="O179" i="12" s="1"/>
  <c r="F199" i="12"/>
  <c r="J199" i="12" s="1"/>
  <c r="N199" i="12" s="1"/>
  <c r="F194" i="12"/>
  <c r="J194" i="12" s="1"/>
  <c r="N194" i="12" s="1"/>
  <c r="O194" i="12" s="1"/>
  <c r="J166" i="12"/>
  <c r="N166" i="12" s="1"/>
  <c r="H167" i="12"/>
  <c r="F197" i="12"/>
  <c r="J197" i="12" s="1"/>
  <c r="N197" i="12" s="1"/>
  <c r="F182" i="12"/>
  <c r="J156" i="12"/>
  <c r="N156" i="12" s="1"/>
  <c r="H157" i="12"/>
  <c r="F177" i="12"/>
  <c r="J177" i="12" s="1"/>
  <c r="N177" i="12" s="1"/>
  <c r="F192" i="12"/>
  <c r="J192" i="12" s="1"/>
  <c r="N192" i="12" s="1"/>
  <c r="F187" i="12"/>
  <c r="J187" i="12" s="1"/>
  <c r="N187" i="12" s="1"/>
  <c r="J183" i="12"/>
  <c r="N183" i="12" s="1"/>
  <c r="H165" i="10"/>
  <c r="J165" i="10" s="1"/>
  <c r="N165" i="10" s="1"/>
  <c r="J164" i="10"/>
  <c r="N164" i="10" s="1"/>
  <c r="F81" i="10"/>
  <c r="F96" i="10"/>
  <c r="H65" i="10"/>
  <c r="J64" i="10"/>
  <c r="J153" i="11"/>
  <c r="N153" i="11" s="1"/>
  <c r="F154" i="11"/>
  <c r="F101" i="10"/>
  <c r="F116" i="10"/>
  <c r="F111" i="10"/>
  <c r="F106" i="10"/>
  <c r="F121" i="10"/>
  <c r="H89" i="10"/>
  <c r="H90" i="10" s="1"/>
  <c r="H91" i="10" s="1"/>
  <c r="H92" i="10" s="1"/>
  <c r="H181" i="12"/>
  <c r="H182" i="12" s="1"/>
  <c r="H183" i="12" s="1"/>
  <c r="H184" i="12" s="1"/>
  <c r="H185" i="12" s="1"/>
  <c r="H182" i="11"/>
  <c r="H183" i="11" s="1"/>
  <c r="Q157" i="10"/>
  <c r="R157" i="10"/>
  <c r="S157" i="10"/>
  <c r="T157" i="10" s="1"/>
  <c r="AK152" i="10"/>
  <c r="O152" i="10"/>
  <c r="P181" i="11"/>
  <c r="AK152" i="11"/>
  <c r="O152" i="11"/>
  <c r="AK178" i="2"/>
  <c r="O180" i="10"/>
  <c r="AK180" i="10"/>
  <c r="H164" i="11"/>
  <c r="J163" i="11"/>
  <c r="N163" i="11" s="1"/>
  <c r="P176" i="11"/>
  <c r="Q176" i="10"/>
  <c r="R176" i="10" s="1"/>
  <c r="S176" i="10" s="1"/>
  <c r="T176" i="10" s="1"/>
  <c r="U177" i="10"/>
  <c r="AA177" i="10" s="1"/>
  <c r="AD177" i="10" s="1"/>
  <c r="AG177" i="10" s="1"/>
  <c r="H174" i="10"/>
  <c r="J173" i="10"/>
  <c r="F79" i="10"/>
  <c r="H55" i="10"/>
  <c r="F94" i="10"/>
  <c r="J54" i="10"/>
  <c r="N54" i="10" s="1"/>
  <c r="O54" i="10" s="1"/>
  <c r="J157" i="11"/>
  <c r="N157" i="11" s="1"/>
  <c r="H158" i="11"/>
  <c r="P156" i="11"/>
  <c r="Q156" i="11" s="1"/>
  <c r="R156" i="11" s="1"/>
  <c r="S156" i="11" s="1"/>
  <c r="T156" i="11" s="1"/>
  <c r="H163" i="12"/>
  <c r="J162" i="12"/>
  <c r="N162" i="12" s="1"/>
  <c r="O198" i="12"/>
  <c r="O193" i="12"/>
  <c r="F109" i="10"/>
  <c r="H79" i="10"/>
  <c r="H80" i="10" s="1"/>
  <c r="H81" i="10" s="1"/>
  <c r="H82" i="10" s="1"/>
  <c r="F119" i="10"/>
  <c r="F114" i="10"/>
  <c r="F104" i="10"/>
  <c r="F99" i="10"/>
  <c r="F107" i="10"/>
  <c r="F122" i="10"/>
  <c r="F112" i="10"/>
  <c r="F117" i="10"/>
  <c r="H94" i="10"/>
  <c r="H95" i="10" s="1"/>
  <c r="H96" i="10" s="1"/>
  <c r="H97" i="10" s="1"/>
  <c r="F102" i="10"/>
  <c r="H184" i="10"/>
  <c r="J183" i="10"/>
  <c r="N183" i="10" s="1"/>
  <c r="O183" i="10" s="1"/>
  <c r="J167" i="11"/>
  <c r="N167" i="11" s="1"/>
  <c r="H168" i="11"/>
  <c r="H159" i="10"/>
  <c r="J158" i="10"/>
  <c r="N158" i="10" s="1"/>
  <c r="AA151" i="11"/>
  <c r="AD151" i="11" s="1"/>
  <c r="AG151" i="11" s="1"/>
  <c r="V151" i="11"/>
  <c r="X151" i="11" s="1"/>
  <c r="F154" i="10"/>
  <c r="J153" i="10"/>
  <c r="N153" i="10" s="1"/>
  <c r="J49" i="10"/>
  <c r="N49" i="10" s="1"/>
  <c r="O49" i="10" s="1"/>
  <c r="P49" i="10" s="1"/>
  <c r="F93" i="10"/>
  <c r="J93" i="10" s="1"/>
  <c r="H50" i="10"/>
  <c r="F78" i="10"/>
  <c r="J78" i="10" s="1"/>
  <c r="N78" i="10" s="1"/>
  <c r="O78" i="10" s="1"/>
  <c r="F196" i="12"/>
  <c r="J196" i="12" s="1"/>
  <c r="N196" i="12" s="1"/>
  <c r="F191" i="12"/>
  <c r="J191" i="12" s="1"/>
  <c r="N191" i="12" s="1"/>
  <c r="O191" i="12" s="1"/>
  <c r="F176" i="12"/>
  <c r="J176" i="12" s="1"/>
  <c r="N176" i="12" s="1"/>
  <c r="H152" i="12"/>
  <c r="F181" i="12"/>
  <c r="J181" i="12" s="1"/>
  <c r="N181" i="12" s="1"/>
  <c r="F186" i="12"/>
  <c r="J186" i="12" s="1"/>
  <c r="N186" i="12" s="1"/>
  <c r="J151" i="12"/>
  <c r="N151" i="12" s="1"/>
  <c r="P179" i="11"/>
  <c r="F154" i="12"/>
  <c r="N186" i="11"/>
  <c r="H169" i="10"/>
  <c r="J168" i="10"/>
  <c r="P48" i="10"/>
  <c r="Q48" i="10" s="1"/>
  <c r="R48" i="10" s="1"/>
  <c r="S48" i="10" s="1"/>
  <c r="T48" i="10" s="1"/>
  <c r="F82" i="10"/>
  <c r="F92" i="10"/>
  <c r="H70" i="10"/>
  <c r="J69" i="10"/>
  <c r="F75" i="11"/>
  <c r="H59" i="11"/>
  <c r="H68" i="11"/>
  <c r="H53" i="11"/>
  <c r="H63" i="11"/>
  <c r="H48" i="11"/>
  <c r="J58" i="11"/>
  <c r="N58" i="11" s="1"/>
  <c r="O58" i="11" s="1"/>
  <c r="H173" i="11"/>
  <c r="J172" i="11"/>
  <c r="O180" i="11"/>
  <c r="AK180" i="11"/>
  <c r="P177" i="11"/>
  <c r="Q177" i="11" s="1"/>
  <c r="R177" i="11" s="1"/>
  <c r="S177" i="11" s="1"/>
  <c r="T177" i="11" s="1"/>
  <c r="O161" i="12"/>
  <c r="F185" i="12"/>
  <c r="J185" i="12" s="1"/>
  <c r="N185" i="12" s="1"/>
  <c r="F195" i="12"/>
  <c r="J195" i="12" s="1"/>
  <c r="N195" i="12" s="1"/>
  <c r="F190" i="12"/>
  <c r="J190" i="12" s="1"/>
  <c r="N190" i="12" s="1"/>
  <c r="H172" i="12"/>
  <c r="F200" i="12"/>
  <c r="J200" i="12" s="1"/>
  <c r="N200" i="12" s="1"/>
  <c r="J171" i="12"/>
  <c r="N171" i="12" s="1"/>
  <c r="F180" i="12"/>
  <c r="J180" i="12" s="1"/>
  <c r="N180" i="12" s="1"/>
  <c r="O178" i="12"/>
  <c r="J80" i="10"/>
  <c r="N80" i="10" s="1"/>
  <c r="O80" i="10" s="1"/>
  <c r="U178" i="11"/>
  <c r="AA178" i="11" s="1"/>
  <c r="AD178" i="11" s="1"/>
  <c r="AG178" i="11" s="1"/>
  <c r="U151" i="10"/>
  <c r="AA151" i="10" s="1"/>
  <c r="AD151" i="10" s="1"/>
  <c r="AG151" i="10" s="1"/>
  <c r="K110" i="12"/>
  <c r="L109" i="12"/>
  <c r="M109" i="12" s="1"/>
  <c r="K118" i="12"/>
  <c r="K114" i="12"/>
  <c r="L113" i="12"/>
  <c r="M113" i="12" s="1"/>
  <c r="O161" i="11"/>
  <c r="L83" i="11"/>
  <c r="M83" i="11" s="1"/>
  <c r="K88" i="11"/>
  <c r="K84" i="11"/>
  <c r="K163" i="11"/>
  <c r="L162" i="11"/>
  <c r="M162" i="11" s="1"/>
  <c r="L187" i="11"/>
  <c r="M187" i="11" s="1"/>
  <c r="N187" i="11" s="1"/>
  <c r="K188" i="11"/>
  <c r="L166" i="11"/>
  <c r="M166" i="11" s="1"/>
  <c r="N166" i="11" s="1"/>
  <c r="K171" i="11"/>
  <c r="K167" i="11"/>
  <c r="L191" i="11"/>
  <c r="M191" i="11" s="1"/>
  <c r="N191" i="11" s="1"/>
  <c r="K192" i="11"/>
  <c r="K196" i="11"/>
  <c r="K35" i="11"/>
  <c r="L34" i="11"/>
  <c r="M34" i="11" s="1"/>
  <c r="K68" i="11"/>
  <c r="K64" i="11"/>
  <c r="L63" i="11"/>
  <c r="M63" i="11" s="1"/>
  <c r="O186" i="11"/>
  <c r="K43" i="11"/>
  <c r="K39" i="11"/>
  <c r="L38" i="11"/>
  <c r="M38" i="11" s="1"/>
  <c r="K60" i="11"/>
  <c r="L59" i="11"/>
  <c r="M59" i="11" s="1"/>
  <c r="Y73" i="2"/>
  <c r="V73" i="2"/>
  <c r="AC73" i="2"/>
  <c r="AF73" i="2" s="1"/>
  <c r="AD73" i="2"/>
  <c r="AG73" i="2" s="1"/>
  <c r="AA73" i="2"/>
  <c r="AB73" i="2"/>
  <c r="AE73" i="2" s="1"/>
  <c r="Z73" i="2"/>
  <c r="X73" i="2"/>
  <c r="W73" i="2"/>
  <c r="K197" i="10"/>
  <c r="L196" i="10"/>
  <c r="M196" i="10" s="1"/>
  <c r="N196" i="10" s="1"/>
  <c r="O187" i="10"/>
  <c r="P186" i="10"/>
  <c r="O58" i="10"/>
  <c r="O161" i="10"/>
  <c r="K189" i="10"/>
  <c r="L188" i="10"/>
  <c r="M188" i="10" s="1"/>
  <c r="N188" i="10" s="1"/>
  <c r="L63" i="10"/>
  <c r="M63" i="10" s="1"/>
  <c r="N63" i="10" s="1"/>
  <c r="K68" i="10"/>
  <c r="K64" i="10"/>
  <c r="K35" i="10"/>
  <c r="L34" i="10"/>
  <c r="M34" i="10" s="1"/>
  <c r="K193" i="10"/>
  <c r="L192" i="10"/>
  <c r="M192" i="10" s="1"/>
  <c r="N192" i="10" s="1"/>
  <c r="K88" i="10"/>
  <c r="K84" i="10"/>
  <c r="L83" i="10"/>
  <c r="M83" i="10" s="1"/>
  <c r="K163" i="10"/>
  <c r="L162" i="10"/>
  <c r="M162" i="10" s="1"/>
  <c r="N162" i="10" s="1"/>
  <c r="L38" i="10"/>
  <c r="M38" i="10" s="1"/>
  <c r="K43" i="10"/>
  <c r="K39" i="10"/>
  <c r="O191" i="10"/>
  <c r="V157" i="10"/>
  <c r="AA157" i="10"/>
  <c r="AD157" i="10" s="1"/>
  <c r="AG157" i="10" s="1"/>
  <c r="L59" i="10"/>
  <c r="M59" i="10" s="1"/>
  <c r="N59" i="10" s="1"/>
  <c r="K60" i="10"/>
  <c r="K167" i="10"/>
  <c r="K171" i="10"/>
  <c r="L166" i="10"/>
  <c r="M166" i="10" s="1"/>
  <c r="N166" i="10" s="1"/>
  <c r="H68" i="2"/>
  <c r="H64" i="2"/>
  <c r="H65" i="2" s="1"/>
  <c r="S178" i="2"/>
  <c r="T178" i="2" s="1"/>
  <c r="J143" i="2"/>
  <c r="S152" i="2"/>
  <c r="T152" i="2" s="1"/>
  <c r="S183" i="2"/>
  <c r="T183" i="2" s="1"/>
  <c r="O179" i="2"/>
  <c r="U179" i="2" s="1"/>
  <c r="I155" i="2"/>
  <c r="J154" i="2"/>
  <c r="N154" i="2" s="1"/>
  <c r="AK154" i="2" s="1"/>
  <c r="F200" i="2"/>
  <c r="F180" i="2"/>
  <c r="F195" i="2"/>
  <c r="F190" i="2"/>
  <c r="F185" i="2"/>
  <c r="O153" i="2"/>
  <c r="U153" i="2" s="1"/>
  <c r="F77" i="2"/>
  <c r="J139" i="2"/>
  <c r="R178" i="2"/>
  <c r="O184" i="2"/>
  <c r="U184" i="2" s="1"/>
  <c r="F89" i="2"/>
  <c r="J89" i="2" s="1"/>
  <c r="F84" i="2"/>
  <c r="F131" i="2"/>
  <c r="J131" i="2" s="1"/>
  <c r="F136" i="2"/>
  <c r="J136" i="2" s="1"/>
  <c r="F146" i="2"/>
  <c r="F126" i="2"/>
  <c r="J126" i="2" s="1"/>
  <c r="N126" i="2" s="1"/>
  <c r="AK126" i="2" s="1"/>
  <c r="F141" i="2"/>
  <c r="H94" i="2"/>
  <c r="H95" i="2" s="1"/>
  <c r="H96" i="2" s="1"/>
  <c r="H97" i="2" s="1"/>
  <c r="F117" i="2"/>
  <c r="F107" i="2"/>
  <c r="F102" i="2"/>
  <c r="F112" i="2"/>
  <c r="F122" i="2"/>
  <c r="J75" i="2"/>
  <c r="N75" i="2" s="1"/>
  <c r="AK75" i="2" s="1"/>
  <c r="H69" i="2"/>
  <c r="H60" i="2"/>
  <c r="H56" i="2"/>
  <c r="H197" i="2"/>
  <c r="J196" i="2"/>
  <c r="H190" i="2"/>
  <c r="J189" i="2"/>
  <c r="N189" i="2" s="1"/>
  <c r="AK189" i="2" s="1"/>
  <c r="H193" i="2"/>
  <c r="J192" i="2"/>
  <c r="O188" i="2"/>
  <c r="U188" i="2" s="1"/>
  <c r="H164" i="2"/>
  <c r="H168" i="2"/>
  <c r="H172" i="2"/>
  <c r="H145" i="2"/>
  <c r="J144" i="2"/>
  <c r="H141" i="2"/>
  <c r="J140" i="2"/>
  <c r="H118" i="2"/>
  <c r="H114" i="2"/>
  <c r="H111" i="2"/>
  <c r="H107" i="2"/>
  <c r="K23" i="2"/>
  <c r="K24" i="2" s="1"/>
  <c r="K25" i="2" s="1"/>
  <c r="W151" i="11" l="1"/>
  <c r="Y151" i="11" s="1"/>
  <c r="Z151" i="11" s="1"/>
  <c r="AC151" i="11" s="1"/>
  <c r="AF151" i="11" s="1"/>
  <c r="V177" i="10"/>
  <c r="X177" i="10" s="1"/>
  <c r="J182" i="12"/>
  <c r="N182" i="12" s="1"/>
  <c r="O182" i="12" s="1"/>
  <c r="J184" i="12"/>
  <c r="N184" i="12" s="1"/>
  <c r="AA156" i="10"/>
  <c r="AD156" i="10" s="1"/>
  <c r="AG156" i="10" s="1"/>
  <c r="AB151" i="11"/>
  <c r="AE151" i="11" s="1"/>
  <c r="U177" i="11"/>
  <c r="AA177" i="11" s="1"/>
  <c r="AD177" i="11" s="1"/>
  <c r="AG177" i="11" s="1"/>
  <c r="W156" i="10"/>
  <c r="AB156" i="10" s="1"/>
  <c r="AE156" i="10" s="1"/>
  <c r="X156" i="10"/>
  <c r="U176" i="10"/>
  <c r="V176" i="10" s="1"/>
  <c r="U48" i="10"/>
  <c r="V48" i="10" s="1"/>
  <c r="U156" i="11"/>
  <c r="V156" i="11" s="1"/>
  <c r="X156" i="11" s="1"/>
  <c r="U182" i="10"/>
  <c r="W179" i="10"/>
  <c r="X179" i="10"/>
  <c r="H173" i="12"/>
  <c r="J172" i="12"/>
  <c r="N172" i="12" s="1"/>
  <c r="H174" i="11"/>
  <c r="J173" i="11"/>
  <c r="N173" i="11" s="1"/>
  <c r="F155" i="11"/>
  <c r="J155" i="11" s="1"/>
  <c r="N155" i="11" s="1"/>
  <c r="J154" i="11"/>
  <c r="N154" i="11" s="1"/>
  <c r="J96" i="10"/>
  <c r="O183" i="12"/>
  <c r="H158" i="12"/>
  <c r="J157" i="12"/>
  <c r="N157" i="12" s="1"/>
  <c r="Q73" i="10"/>
  <c r="R73" i="10" s="1"/>
  <c r="S73" i="10" s="1"/>
  <c r="T73" i="10" s="1"/>
  <c r="AK180" i="12"/>
  <c r="O180" i="12"/>
  <c r="O190" i="12"/>
  <c r="P161" i="12"/>
  <c r="Q161" i="12" s="1"/>
  <c r="R161" i="12" s="1"/>
  <c r="S161" i="12" s="1"/>
  <c r="T161" i="12" s="1"/>
  <c r="U161" i="12" s="1"/>
  <c r="F77" i="11"/>
  <c r="H69" i="11"/>
  <c r="J68" i="11"/>
  <c r="H71" i="10"/>
  <c r="F87" i="10"/>
  <c r="J87" i="10" s="1"/>
  <c r="J70" i="10"/>
  <c r="F155" i="12"/>
  <c r="O151" i="12"/>
  <c r="O176" i="12"/>
  <c r="P78" i="10"/>
  <c r="O153" i="10"/>
  <c r="AK153" i="10"/>
  <c r="O158" i="10"/>
  <c r="AK158" i="10"/>
  <c r="P183" i="10"/>
  <c r="Q183" i="10" s="1"/>
  <c r="R183" i="10" s="1"/>
  <c r="S183" i="10" s="1"/>
  <c r="T183" i="10" s="1"/>
  <c r="P193" i="12"/>
  <c r="Q193" i="12" s="1"/>
  <c r="R193" i="12" s="1"/>
  <c r="S193" i="12" s="1"/>
  <c r="T193" i="12" s="1"/>
  <c r="J163" i="12"/>
  <c r="N163" i="12" s="1"/>
  <c r="H164" i="12"/>
  <c r="H159" i="11"/>
  <c r="J158" i="11"/>
  <c r="N158" i="11" s="1"/>
  <c r="J94" i="10"/>
  <c r="H175" i="10"/>
  <c r="J175" i="10" s="1"/>
  <c r="J174" i="10"/>
  <c r="J182" i="11"/>
  <c r="N182" i="11" s="1"/>
  <c r="O182" i="11" s="1"/>
  <c r="P152" i="10"/>
  <c r="Q152" i="10"/>
  <c r="U152" i="10"/>
  <c r="O153" i="11"/>
  <c r="AK153" i="11"/>
  <c r="J81" i="10"/>
  <c r="N81" i="10" s="1"/>
  <c r="O81" i="10" s="1"/>
  <c r="O187" i="12"/>
  <c r="O156" i="12"/>
  <c r="O166" i="12"/>
  <c r="O189" i="12"/>
  <c r="P162" i="11"/>
  <c r="U162" i="11"/>
  <c r="Q162" i="11"/>
  <c r="H75" i="10"/>
  <c r="H83" i="11"/>
  <c r="H62" i="10"/>
  <c r="J62" i="10" s="1"/>
  <c r="J61" i="10"/>
  <c r="Q53" i="10"/>
  <c r="R53" i="10" s="1"/>
  <c r="S53" i="10" s="1"/>
  <c r="T53" i="10" s="1"/>
  <c r="P178" i="12"/>
  <c r="Q178" i="12" s="1"/>
  <c r="R178" i="12" s="1"/>
  <c r="S178" i="12" s="1"/>
  <c r="T178" i="12" s="1"/>
  <c r="U178" i="12" s="1"/>
  <c r="H58" i="12"/>
  <c r="F74" i="11"/>
  <c r="H54" i="11"/>
  <c r="J53" i="11"/>
  <c r="N53" i="11" s="1"/>
  <c r="O53" i="11" s="1"/>
  <c r="H170" i="10"/>
  <c r="J170" i="10" s="1"/>
  <c r="N170" i="10" s="1"/>
  <c r="J169" i="10"/>
  <c r="V178" i="11"/>
  <c r="H153" i="12"/>
  <c r="J152" i="12"/>
  <c r="N152" i="12" s="1"/>
  <c r="Q49" i="10"/>
  <c r="R49" i="10" s="1"/>
  <c r="S49" i="10" s="1"/>
  <c r="T49" i="10" s="1"/>
  <c r="H168" i="12"/>
  <c r="J167" i="12"/>
  <c r="N167" i="12" s="1"/>
  <c r="P80" i="10"/>
  <c r="Q80" i="10" s="1"/>
  <c r="R80" i="10" s="1"/>
  <c r="S80" i="10" s="1"/>
  <c r="T80" i="10" s="1"/>
  <c r="O171" i="12"/>
  <c r="O195" i="12"/>
  <c r="P180" i="11"/>
  <c r="Q180" i="11"/>
  <c r="U180" i="11"/>
  <c r="F73" i="11"/>
  <c r="H49" i="11"/>
  <c r="J48" i="11"/>
  <c r="N48" i="11" s="1"/>
  <c r="H60" i="11"/>
  <c r="F80" i="11"/>
  <c r="J59" i="11"/>
  <c r="N59" i="11" s="1"/>
  <c r="O59" i="11" s="1"/>
  <c r="J92" i="10"/>
  <c r="O186" i="12"/>
  <c r="P191" i="12"/>
  <c r="Q191" i="12" s="1"/>
  <c r="R191" i="12" s="1"/>
  <c r="S191" i="12" s="1"/>
  <c r="T191" i="12" s="1"/>
  <c r="J50" i="10"/>
  <c r="N50" i="10" s="1"/>
  <c r="O50" i="10" s="1"/>
  <c r="P50" i="10" s="1"/>
  <c r="F83" i="10"/>
  <c r="J83" i="10" s="1"/>
  <c r="H51" i="10"/>
  <c r="J154" i="10"/>
  <c r="N154" i="10" s="1"/>
  <c r="F155" i="10"/>
  <c r="J155" i="10" s="1"/>
  <c r="N155" i="10" s="1"/>
  <c r="H160" i="10"/>
  <c r="J160" i="10" s="1"/>
  <c r="N160" i="10" s="1"/>
  <c r="J159" i="10"/>
  <c r="N159" i="10" s="1"/>
  <c r="H185" i="10"/>
  <c r="J185" i="10" s="1"/>
  <c r="N185" i="10" s="1"/>
  <c r="O185" i="10" s="1"/>
  <c r="J184" i="10"/>
  <c r="N184" i="10" s="1"/>
  <c r="O184" i="10" s="1"/>
  <c r="AK157" i="11"/>
  <c r="O157" i="11"/>
  <c r="J55" i="10"/>
  <c r="N55" i="10" s="1"/>
  <c r="O55" i="10" s="1"/>
  <c r="H56" i="10"/>
  <c r="F84" i="10"/>
  <c r="J84" i="10" s="1"/>
  <c r="F89" i="10"/>
  <c r="J89" i="10" s="1"/>
  <c r="Q176" i="11"/>
  <c r="R176" i="11" s="1"/>
  <c r="S176" i="11" s="1"/>
  <c r="T176" i="11" s="1"/>
  <c r="U180" i="10"/>
  <c r="P180" i="10"/>
  <c r="Q180" i="10"/>
  <c r="V151" i="10"/>
  <c r="Q181" i="11"/>
  <c r="R181" i="11" s="1"/>
  <c r="S181" i="11" s="1"/>
  <c r="T181" i="11" s="1"/>
  <c r="H184" i="11"/>
  <c r="J183" i="11"/>
  <c r="N183" i="11" s="1"/>
  <c r="O183" i="11" s="1"/>
  <c r="AK164" i="10"/>
  <c r="O164" i="10"/>
  <c r="O192" i="12"/>
  <c r="P182" i="12"/>
  <c r="Q182" i="12" s="1"/>
  <c r="R182" i="12" s="1"/>
  <c r="S182" i="12" s="1"/>
  <c r="T182" i="12" s="1"/>
  <c r="U182" i="12" s="1"/>
  <c r="P194" i="12"/>
  <c r="O184" i="12"/>
  <c r="J95" i="10"/>
  <c r="U181" i="10"/>
  <c r="V181" i="10" s="1"/>
  <c r="X181" i="10" s="1"/>
  <c r="AA178" i="10"/>
  <c r="AD178" i="10" s="1"/>
  <c r="AG178" i="10" s="1"/>
  <c r="AH151" i="11"/>
  <c r="AI151" i="11" s="1"/>
  <c r="AK167" i="11"/>
  <c r="O167" i="11"/>
  <c r="O162" i="12"/>
  <c r="AK162" i="12"/>
  <c r="P54" i="10"/>
  <c r="H165" i="11"/>
  <c r="J165" i="11" s="1"/>
  <c r="N165" i="11" s="1"/>
  <c r="J164" i="11"/>
  <c r="N164" i="11" s="1"/>
  <c r="P179" i="12"/>
  <c r="N83" i="10"/>
  <c r="O200" i="12"/>
  <c r="O185" i="12"/>
  <c r="F76" i="11"/>
  <c r="H64" i="11"/>
  <c r="J63" i="11"/>
  <c r="N63" i="11" s="1"/>
  <c r="O63" i="11" s="1"/>
  <c r="J82" i="10"/>
  <c r="N82" i="10" s="1"/>
  <c r="O82" i="10" s="1"/>
  <c r="Q179" i="11"/>
  <c r="R179" i="11" s="1"/>
  <c r="S179" i="11" s="1"/>
  <c r="T179" i="11" s="1"/>
  <c r="O181" i="12"/>
  <c r="O196" i="12"/>
  <c r="J168" i="11"/>
  <c r="N168" i="11" s="1"/>
  <c r="H169" i="11"/>
  <c r="P198" i="12"/>
  <c r="Q198" i="12" s="1"/>
  <c r="R198" i="12" s="1"/>
  <c r="S198" i="12" s="1"/>
  <c r="T198" i="12" s="1"/>
  <c r="J79" i="10"/>
  <c r="N79" i="10" s="1"/>
  <c r="O79" i="10" s="1"/>
  <c r="W177" i="10"/>
  <c r="AK163" i="11"/>
  <c r="O163" i="11"/>
  <c r="Q152" i="11"/>
  <c r="P152" i="11"/>
  <c r="U152" i="11"/>
  <c r="F86" i="10"/>
  <c r="J86" i="10" s="1"/>
  <c r="H66" i="10"/>
  <c r="J65" i="10"/>
  <c r="AK165" i="10"/>
  <c r="O165" i="10"/>
  <c r="O177" i="12"/>
  <c r="O197" i="12"/>
  <c r="O199" i="12"/>
  <c r="Q74" i="10"/>
  <c r="R74" i="10" s="1"/>
  <c r="S74" i="10" s="1"/>
  <c r="T74" i="10" s="1"/>
  <c r="J90" i="10"/>
  <c r="P188" i="12"/>
  <c r="Q188" i="12" s="1"/>
  <c r="R188" i="12" s="1"/>
  <c r="S188" i="12" s="1"/>
  <c r="T188" i="12" s="1"/>
  <c r="V178" i="10"/>
  <c r="O188" i="10"/>
  <c r="P188" i="10" s="1"/>
  <c r="K111" i="12"/>
  <c r="L110" i="12"/>
  <c r="M110" i="12" s="1"/>
  <c r="K115" i="12"/>
  <c r="L114" i="12"/>
  <c r="M114" i="12" s="1"/>
  <c r="L118" i="12"/>
  <c r="M118" i="12" s="1"/>
  <c r="K119" i="12"/>
  <c r="K61" i="11"/>
  <c r="L60" i="11"/>
  <c r="M60" i="11" s="1"/>
  <c r="K69" i="11"/>
  <c r="L68" i="11"/>
  <c r="M68" i="11" s="1"/>
  <c r="N68" i="11" s="1"/>
  <c r="L192" i="11"/>
  <c r="M192" i="11" s="1"/>
  <c r="N192" i="11" s="1"/>
  <c r="K193" i="11"/>
  <c r="O166" i="11"/>
  <c r="K93" i="11"/>
  <c r="L88" i="11"/>
  <c r="M88" i="11" s="1"/>
  <c r="K89" i="11"/>
  <c r="K36" i="11"/>
  <c r="L35" i="11"/>
  <c r="M35" i="11" s="1"/>
  <c r="O191" i="11"/>
  <c r="K164" i="11"/>
  <c r="L163" i="11"/>
  <c r="M163" i="11" s="1"/>
  <c r="L39" i="11"/>
  <c r="M39" i="11" s="1"/>
  <c r="K40" i="11"/>
  <c r="K168" i="11"/>
  <c r="L167" i="11"/>
  <c r="M167" i="11" s="1"/>
  <c r="L188" i="11"/>
  <c r="M188" i="11" s="1"/>
  <c r="N188" i="11" s="1"/>
  <c r="K189" i="11"/>
  <c r="L43" i="11"/>
  <c r="M43" i="11" s="1"/>
  <c r="K44" i="11"/>
  <c r="P186" i="11"/>
  <c r="Q186" i="11" s="1"/>
  <c r="K65" i="11"/>
  <c r="L64" i="11"/>
  <c r="M64" i="11" s="1"/>
  <c r="L196" i="11"/>
  <c r="M196" i="11" s="1"/>
  <c r="N196" i="11" s="1"/>
  <c r="K197" i="11"/>
  <c r="K172" i="11"/>
  <c r="L171" i="11"/>
  <c r="M171" i="11" s="1"/>
  <c r="N171" i="11" s="1"/>
  <c r="O187" i="11"/>
  <c r="P58" i="11"/>
  <c r="Q58" i="11" s="1"/>
  <c r="L84" i="11"/>
  <c r="M84" i="11" s="1"/>
  <c r="K85" i="11"/>
  <c r="P161" i="11"/>
  <c r="AB178" i="2"/>
  <c r="AE178" i="2" s="1"/>
  <c r="AD178" i="2"/>
  <c r="AG178" i="2" s="1"/>
  <c r="Y178" i="2"/>
  <c r="AC178" i="2"/>
  <c r="AF178" i="2" s="1"/>
  <c r="W178" i="2"/>
  <c r="AA178" i="2"/>
  <c r="V178" i="2"/>
  <c r="Z178" i="2"/>
  <c r="X178" i="2"/>
  <c r="AH73" i="2"/>
  <c r="AI73" i="2" s="1"/>
  <c r="AA152" i="2"/>
  <c r="V152" i="2"/>
  <c r="AB152" i="2"/>
  <c r="AE152" i="2" s="1"/>
  <c r="Z152" i="2"/>
  <c r="W152" i="2"/>
  <c r="Y152" i="2"/>
  <c r="AD152" i="2"/>
  <c r="AG152" i="2" s="1"/>
  <c r="X152" i="2"/>
  <c r="AC152" i="2"/>
  <c r="AF152" i="2" s="1"/>
  <c r="Z183" i="2"/>
  <c r="V183" i="2"/>
  <c r="AB183" i="2"/>
  <c r="AE183" i="2" s="1"/>
  <c r="X183" i="2"/>
  <c r="Y183" i="2"/>
  <c r="AA183" i="2"/>
  <c r="AC183" i="2"/>
  <c r="AF183" i="2" s="1"/>
  <c r="AD183" i="2"/>
  <c r="AG183" i="2" s="1"/>
  <c r="W183" i="2"/>
  <c r="L60" i="10"/>
  <c r="M60" i="10" s="1"/>
  <c r="N60" i="10" s="1"/>
  <c r="K61" i="10"/>
  <c r="K44" i="10"/>
  <c r="L43" i="10"/>
  <c r="M43" i="10" s="1"/>
  <c r="O83" i="10"/>
  <c r="K36" i="10"/>
  <c r="L35" i="10"/>
  <c r="M35" i="10" s="1"/>
  <c r="P187" i="10"/>
  <c r="O166" i="10"/>
  <c r="O59" i="10"/>
  <c r="W157" i="10"/>
  <c r="X157" i="10"/>
  <c r="K85" i="10"/>
  <c r="L84" i="10"/>
  <c r="M84" i="10" s="1"/>
  <c r="O192" i="10"/>
  <c r="L64" i="10"/>
  <c r="M64" i="10" s="1"/>
  <c r="N64" i="10" s="1"/>
  <c r="K65" i="10"/>
  <c r="K190" i="10"/>
  <c r="L190" i="10" s="1"/>
  <c r="M190" i="10" s="1"/>
  <c r="N190" i="10" s="1"/>
  <c r="O190" i="10" s="1"/>
  <c r="P190" i="10" s="1"/>
  <c r="L189" i="10"/>
  <c r="M189" i="10" s="1"/>
  <c r="N189" i="10" s="1"/>
  <c r="O189" i="10" s="1"/>
  <c r="P189" i="10" s="1"/>
  <c r="P58" i="10"/>
  <c r="Q58" i="10" s="1"/>
  <c r="Q186" i="10"/>
  <c r="R186" i="10" s="1"/>
  <c r="S186" i="10" s="1"/>
  <c r="T186" i="10" s="1"/>
  <c r="L171" i="10"/>
  <c r="M171" i="10" s="1"/>
  <c r="N171" i="10" s="1"/>
  <c r="K172" i="10"/>
  <c r="O162" i="10"/>
  <c r="K89" i="10"/>
  <c r="L88" i="10"/>
  <c r="M88" i="10" s="1"/>
  <c r="K93" i="10"/>
  <c r="K194" i="10"/>
  <c r="L193" i="10"/>
  <c r="M193" i="10" s="1"/>
  <c r="N193" i="10" s="1"/>
  <c r="Y156" i="10"/>
  <c r="L68" i="10"/>
  <c r="M68" i="10" s="1"/>
  <c r="N68" i="10" s="1"/>
  <c r="K69" i="10"/>
  <c r="P161" i="10"/>
  <c r="Q161" i="10" s="1"/>
  <c r="O196" i="10"/>
  <c r="K168" i="10"/>
  <c r="L167" i="10"/>
  <c r="M167" i="10" s="1"/>
  <c r="N167" i="10" s="1"/>
  <c r="P191" i="10"/>
  <c r="Q191" i="10" s="1"/>
  <c r="K40" i="10"/>
  <c r="L39" i="10"/>
  <c r="M39" i="10" s="1"/>
  <c r="L163" i="10"/>
  <c r="M163" i="10" s="1"/>
  <c r="N163" i="10" s="1"/>
  <c r="K164" i="10"/>
  <c r="O63" i="10"/>
  <c r="K198" i="10"/>
  <c r="L197" i="10"/>
  <c r="M197" i="10" s="1"/>
  <c r="N197" i="10" s="1"/>
  <c r="F81" i="2"/>
  <c r="F96" i="2"/>
  <c r="P188" i="2"/>
  <c r="F86" i="2"/>
  <c r="J86" i="2" s="1"/>
  <c r="N86" i="2" s="1"/>
  <c r="AK86" i="2" s="1"/>
  <c r="K26" i="2"/>
  <c r="L25" i="2"/>
  <c r="M25" i="2" s="1"/>
  <c r="F82" i="2"/>
  <c r="F92" i="2"/>
  <c r="O154" i="2"/>
  <c r="U154" i="2" s="1"/>
  <c r="I156" i="2"/>
  <c r="J155" i="2"/>
  <c r="N155" i="2" s="1"/>
  <c r="AK155" i="2" s="1"/>
  <c r="P179" i="2"/>
  <c r="Q179" i="2"/>
  <c r="P184" i="2"/>
  <c r="Q184" i="2"/>
  <c r="P153" i="2"/>
  <c r="Q153" i="2"/>
  <c r="F90" i="2"/>
  <c r="J90" i="2" s="1"/>
  <c r="F95" i="2"/>
  <c r="F85" i="2"/>
  <c r="J85" i="2" s="1"/>
  <c r="N85" i="2" s="1"/>
  <c r="F147" i="2"/>
  <c r="F127" i="2"/>
  <c r="F142" i="2"/>
  <c r="F132" i="2"/>
  <c r="F137" i="2"/>
  <c r="O126" i="2"/>
  <c r="U126" i="2" s="1"/>
  <c r="O75" i="2"/>
  <c r="U75" i="2" s="1"/>
  <c r="J80" i="2"/>
  <c r="N80" i="2" s="1"/>
  <c r="AK80" i="2" s="1"/>
  <c r="H57" i="2"/>
  <c r="J81" i="2"/>
  <c r="N81" i="2" s="1"/>
  <c r="AK81" i="2" s="1"/>
  <c r="H61" i="2"/>
  <c r="J76" i="2"/>
  <c r="N76" i="2" s="1"/>
  <c r="AK76" i="2" s="1"/>
  <c r="H66" i="2"/>
  <c r="F91" i="2" s="1"/>
  <c r="H70" i="2"/>
  <c r="F87" i="2" s="1"/>
  <c r="O189" i="2"/>
  <c r="U189" i="2" s="1"/>
  <c r="H194" i="2"/>
  <c r="J193" i="2"/>
  <c r="Q188" i="2"/>
  <c r="H198" i="2"/>
  <c r="J197" i="2"/>
  <c r="H173" i="2"/>
  <c r="H169" i="2"/>
  <c r="H165" i="2"/>
  <c r="H142" i="2"/>
  <c r="J141" i="2"/>
  <c r="H146" i="2"/>
  <c r="J145" i="2"/>
  <c r="H119" i="2"/>
  <c r="H115" i="2"/>
  <c r="H108" i="10" s="1"/>
  <c r="J108" i="10" s="1"/>
  <c r="H112" i="2"/>
  <c r="J94" i="2"/>
  <c r="K151" i="2"/>
  <c r="J123" i="2"/>
  <c r="B123" i="2"/>
  <c r="B98" i="2"/>
  <c r="Z156" i="10" l="1"/>
  <c r="AC156" i="10" s="1"/>
  <c r="AF156" i="10" s="1"/>
  <c r="W48" i="10"/>
  <c r="Y48" i="10" s="1"/>
  <c r="X48" i="10"/>
  <c r="AA176" i="10"/>
  <c r="AD176" i="10" s="1"/>
  <c r="AG176" i="10" s="1"/>
  <c r="W181" i="10"/>
  <c r="AA182" i="12"/>
  <c r="AD182" i="12" s="1"/>
  <c r="AG182" i="12" s="1"/>
  <c r="U191" i="12"/>
  <c r="U73" i="10"/>
  <c r="AA73" i="10" s="1"/>
  <c r="AD73" i="10" s="1"/>
  <c r="AG73" i="10" s="1"/>
  <c r="U193" i="12"/>
  <c r="V193" i="12" s="1"/>
  <c r="AB48" i="10"/>
  <c r="AE48" i="10" s="1"/>
  <c r="U198" i="12"/>
  <c r="U188" i="12"/>
  <c r="AA188" i="12" s="1"/>
  <c r="AD188" i="12" s="1"/>
  <c r="AG188" i="12" s="1"/>
  <c r="U176" i="11"/>
  <c r="V176" i="11" s="1"/>
  <c r="U74" i="10"/>
  <c r="AA74" i="10" s="1"/>
  <c r="AD74" i="10" s="1"/>
  <c r="AG74" i="10" s="1"/>
  <c r="U181" i="11"/>
  <c r="W176" i="10"/>
  <c r="X176" i="10"/>
  <c r="U179" i="11"/>
  <c r="AA179" i="11" s="1"/>
  <c r="AD179" i="11" s="1"/>
  <c r="AG179" i="11" s="1"/>
  <c r="AK154" i="10"/>
  <c r="O154" i="10"/>
  <c r="P186" i="12"/>
  <c r="Q186" i="12" s="1"/>
  <c r="R186" i="12" s="1"/>
  <c r="S186" i="12" s="1"/>
  <c r="T186" i="12" s="1"/>
  <c r="U186" i="12" s="1"/>
  <c r="AK167" i="12"/>
  <c r="O167" i="12"/>
  <c r="O152" i="12"/>
  <c r="AK152" i="12"/>
  <c r="U53" i="10"/>
  <c r="AA53" i="10" s="1"/>
  <c r="AD53" i="10" s="1"/>
  <c r="AG53" i="10" s="1"/>
  <c r="P153" i="11"/>
  <c r="U153" i="11"/>
  <c r="Q153" i="11"/>
  <c r="H165" i="12"/>
  <c r="J165" i="12" s="1"/>
  <c r="N165" i="12" s="1"/>
  <c r="J164" i="12"/>
  <c r="N164" i="12" s="1"/>
  <c r="F97" i="10"/>
  <c r="J97" i="10" s="1"/>
  <c r="H72" i="10"/>
  <c r="J72" i="10" s="1"/>
  <c r="J71" i="10"/>
  <c r="U180" i="12"/>
  <c r="P180" i="12"/>
  <c r="Q180" i="12"/>
  <c r="J158" i="12"/>
  <c r="N158" i="12" s="1"/>
  <c r="H159" i="12"/>
  <c r="O154" i="11"/>
  <c r="AK154" i="11"/>
  <c r="O173" i="11"/>
  <c r="AK173" i="11"/>
  <c r="W156" i="11"/>
  <c r="F135" i="10"/>
  <c r="F140" i="10"/>
  <c r="F145" i="10"/>
  <c r="H98" i="10"/>
  <c r="H109" i="10"/>
  <c r="F125" i="10"/>
  <c r="H118" i="10"/>
  <c r="H103" i="10"/>
  <c r="F130" i="10"/>
  <c r="H113" i="10"/>
  <c r="X178" i="10"/>
  <c r="W178" i="10"/>
  <c r="P196" i="12"/>
  <c r="Q196" i="12" s="1"/>
  <c r="R196" i="12" s="1"/>
  <c r="S196" i="12" s="1"/>
  <c r="T196" i="12" s="1"/>
  <c r="H65" i="11"/>
  <c r="F81" i="11"/>
  <c r="F96" i="11"/>
  <c r="J64" i="11"/>
  <c r="N64" i="11" s="1"/>
  <c r="O64" i="11" s="1"/>
  <c r="AA181" i="10"/>
  <c r="AD181" i="10" s="1"/>
  <c r="AG181" i="10" s="1"/>
  <c r="P192" i="12"/>
  <c r="Q192" i="12" s="1"/>
  <c r="R192" i="12" s="1"/>
  <c r="S192" i="12" s="1"/>
  <c r="T192" i="12" s="1"/>
  <c r="U192" i="12" s="1"/>
  <c r="P183" i="11"/>
  <c r="X151" i="10"/>
  <c r="W151" i="10"/>
  <c r="H57" i="10"/>
  <c r="J57" i="10" s="1"/>
  <c r="N57" i="10" s="1"/>
  <c r="O57" i="10" s="1"/>
  <c r="J56" i="10"/>
  <c r="N56" i="10" s="1"/>
  <c r="O56" i="10" s="1"/>
  <c r="O159" i="10"/>
  <c r="AK159" i="10"/>
  <c r="H52" i="10"/>
  <c r="J51" i="10"/>
  <c r="N51" i="10" s="1"/>
  <c r="O48" i="11"/>
  <c r="H169" i="12"/>
  <c r="J168" i="12"/>
  <c r="N168" i="12" s="1"/>
  <c r="H154" i="12"/>
  <c r="J153" i="12"/>
  <c r="N153" i="12" s="1"/>
  <c r="P53" i="11"/>
  <c r="Q53" i="11" s="1"/>
  <c r="R53" i="11" s="1"/>
  <c r="S53" i="11" s="1"/>
  <c r="T53" i="11" s="1"/>
  <c r="U53" i="11" s="1"/>
  <c r="AA53" i="11" s="1"/>
  <c r="AD53" i="11" s="1"/>
  <c r="AG53" i="11" s="1"/>
  <c r="H83" i="12"/>
  <c r="F115" i="11"/>
  <c r="F110" i="11"/>
  <c r="H84" i="11"/>
  <c r="H85" i="11" s="1"/>
  <c r="H86" i="11" s="1"/>
  <c r="H87" i="11" s="1"/>
  <c r="F105" i="11"/>
  <c r="H88" i="11"/>
  <c r="F120" i="11"/>
  <c r="H78" i="11"/>
  <c r="F100" i="11"/>
  <c r="H93" i="11"/>
  <c r="H73" i="11"/>
  <c r="S162" i="11"/>
  <c r="T162" i="11" s="1"/>
  <c r="R162" i="11"/>
  <c r="P166" i="12"/>
  <c r="Q166" i="12" s="1"/>
  <c r="R166" i="12" s="1"/>
  <c r="S166" i="12" s="1"/>
  <c r="T166" i="12" s="1"/>
  <c r="U166" i="12" s="1"/>
  <c r="P187" i="12"/>
  <c r="R152" i="10"/>
  <c r="S152" i="10"/>
  <c r="T152" i="10" s="1"/>
  <c r="O163" i="12"/>
  <c r="AK163" i="12"/>
  <c r="Q153" i="10"/>
  <c r="U153" i="10"/>
  <c r="P153" i="10"/>
  <c r="P176" i="12"/>
  <c r="Q176" i="12" s="1"/>
  <c r="R176" i="12" s="1"/>
  <c r="S176" i="12" s="1"/>
  <c r="T176" i="12" s="1"/>
  <c r="AA161" i="12"/>
  <c r="AD161" i="12" s="1"/>
  <c r="AG161" i="12" s="1"/>
  <c r="V161" i="12"/>
  <c r="W161" i="12" s="1"/>
  <c r="O155" i="11"/>
  <c r="AK155" i="11"/>
  <c r="H175" i="11"/>
  <c r="J175" i="11" s="1"/>
  <c r="N175" i="11" s="1"/>
  <c r="J174" i="11"/>
  <c r="N174" i="11" s="1"/>
  <c r="AB179" i="10"/>
  <c r="AE179" i="10" s="1"/>
  <c r="Y179" i="10"/>
  <c r="Z179" i="10" s="1"/>
  <c r="AC179" i="10" s="1"/>
  <c r="AF179" i="10" s="1"/>
  <c r="AH179" i="10" s="1"/>
  <c r="AI179" i="10" s="1"/>
  <c r="P163" i="11"/>
  <c r="U163" i="11"/>
  <c r="Q163" i="11"/>
  <c r="Q162" i="12"/>
  <c r="U162" i="12"/>
  <c r="P162" i="12"/>
  <c r="Q194" i="12"/>
  <c r="R194" i="12" s="1"/>
  <c r="S194" i="12" s="1"/>
  <c r="T194" i="12" s="1"/>
  <c r="AK170" i="10"/>
  <c r="O170" i="10"/>
  <c r="P199" i="12"/>
  <c r="Q199" i="12"/>
  <c r="R199" i="12" s="1"/>
  <c r="S199" i="12" s="1"/>
  <c r="T199" i="12" s="1"/>
  <c r="U199" i="12" s="1"/>
  <c r="P177" i="12"/>
  <c r="Q177" i="12" s="1"/>
  <c r="R177" i="12" s="1"/>
  <c r="S177" i="12" s="1"/>
  <c r="T177" i="12" s="1"/>
  <c r="F91" i="10"/>
  <c r="J91" i="10" s="1"/>
  <c r="H67" i="10"/>
  <c r="J67" i="10" s="1"/>
  <c r="J66" i="10"/>
  <c r="S152" i="11"/>
  <c r="T152" i="11" s="1"/>
  <c r="R152" i="11"/>
  <c r="Y177" i="10"/>
  <c r="Z177" i="10" s="1"/>
  <c r="AC177" i="10" s="1"/>
  <c r="AF177" i="10" s="1"/>
  <c r="AB177" i="10"/>
  <c r="AE177" i="10" s="1"/>
  <c r="H170" i="11"/>
  <c r="J170" i="11" s="1"/>
  <c r="N170" i="11" s="1"/>
  <c r="J169" i="11"/>
  <c r="N169" i="11" s="1"/>
  <c r="P82" i="10"/>
  <c r="Q82" i="10" s="1"/>
  <c r="R82" i="10" s="1"/>
  <c r="S82" i="10" s="1"/>
  <c r="T82" i="10" s="1"/>
  <c r="P200" i="12"/>
  <c r="Q200" i="12" s="1"/>
  <c r="R200" i="12" s="1"/>
  <c r="S200" i="12" s="1"/>
  <c r="T200" i="12" s="1"/>
  <c r="Q179" i="12"/>
  <c r="R179" i="12" s="1"/>
  <c r="S179" i="12" s="1"/>
  <c r="T179" i="12" s="1"/>
  <c r="Q54" i="10"/>
  <c r="R54" i="10" s="1"/>
  <c r="S54" i="10" s="1"/>
  <c r="T54" i="10" s="1"/>
  <c r="Q167" i="11"/>
  <c r="P167" i="11"/>
  <c r="U167" i="11"/>
  <c r="P184" i="12"/>
  <c r="Q184" i="12" s="1"/>
  <c r="R184" i="12" s="1"/>
  <c r="S184" i="12" s="1"/>
  <c r="T184" i="12" s="1"/>
  <c r="U184" i="12" s="1"/>
  <c r="V182" i="12"/>
  <c r="W182" i="12" s="1"/>
  <c r="U164" i="10"/>
  <c r="Q164" i="10"/>
  <c r="P164" i="10"/>
  <c r="H185" i="11"/>
  <c r="J185" i="11" s="1"/>
  <c r="N185" i="11" s="1"/>
  <c r="O185" i="11" s="1"/>
  <c r="J184" i="11"/>
  <c r="N184" i="11" s="1"/>
  <c r="O184" i="11" s="1"/>
  <c r="P55" i="10"/>
  <c r="Q55" i="10" s="1"/>
  <c r="R55" i="10" s="1"/>
  <c r="S55" i="10" s="1"/>
  <c r="T55" i="10" s="1"/>
  <c r="O160" i="10"/>
  <c r="AK160" i="10"/>
  <c r="F93" i="11"/>
  <c r="J93" i="11" s="1"/>
  <c r="F78" i="11"/>
  <c r="J78" i="11" s="1"/>
  <c r="N78" i="11" s="1"/>
  <c r="O78" i="11" s="1"/>
  <c r="H50" i="11"/>
  <c r="J49" i="11"/>
  <c r="N49" i="11" s="1"/>
  <c r="S180" i="11"/>
  <c r="T180" i="11" s="1"/>
  <c r="R180" i="11"/>
  <c r="P171" i="12"/>
  <c r="Q171" i="12" s="1"/>
  <c r="R171" i="12" s="1"/>
  <c r="S171" i="12" s="1"/>
  <c r="T171" i="12" s="1"/>
  <c r="U171" i="12" s="1"/>
  <c r="U49" i="10"/>
  <c r="AA49" i="10" s="1"/>
  <c r="AD49" i="10" s="1"/>
  <c r="AG49" i="10" s="1"/>
  <c r="X178" i="11"/>
  <c r="W178" i="11"/>
  <c r="F94" i="11"/>
  <c r="H55" i="11"/>
  <c r="F79" i="11"/>
  <c r="J54" i="11"/>
  <c r="N54" i="11" s="1"/>
  <c r="O54" i="11" s="1"/>
  <c r="V178" i="12"/>
  <c r="W178" i="12" s="1"/>
  <c r="AB178" i="12" s="1"/>
  <c r="AE178" i="12" s="1"/>
  <c r="AA178" i="12"/>
  <c r="AD178" i="12" s="1"/>
  <c r="AG178" i="12" s="1"/>
  <c r="H76" i="10"/>
  <c r="J75" i="10"/>
  <c r="N75" i="10" s="1"/>
  <c r="P81" i="10"/>
  <c r="Q81" i="10" s="1"/>
  <c r="R81" i="10" s="1"/>
  <c r="S81" i="10" s="1"/>
  <c r="T81" i="10" s="1"/>
  <c r="P182" i="11"/>
  <c r="Q182" i="11" s="1"/>
  <c r="O158" i="11"/>
  <c r="AK158" i="11"/>
  <c r="H70" i="11"/>
  <c r="F82" i="11"/>
  <c r="F92" i="11"/>
  <c r="J69" i="11"/>
  <c r="P183" i="12"/>
  <c r="Q183" i="12"/>
  <c r="R183" i="12" s="1"/>
  <c r="S183" i="12" s="1"/>
  <c r="T183" i="12" s="1"/>
  <c r="O172" i="12"/>
  <c r="AA182" i="10"/>
  <c r="AD182" i="10" s="1"/>
  <c r="AG182" i="10" s="1"/>
  <c r="V182" i="10"/>
  <c r="AA156" i="11"/>
  <c r="AD156" i="11" s="1"/>
  <c r="AG156" i="11" s="1"/>
  <c r="P197" i="12"/>
  <c r="Q197" i="12" s="1"/>
  <c r="R197" i="12" s="1"/>
  <c r="S197" i="12" s="1"/>
  <c r="T197" i="12" s="1"/>
  <c r="U197" i="12"/>
  <c r="P185" i="12"/>
  <c r="Q185" i="12"/>
  <c r="R185" i="12" s="1"/>
  <c r="S185" i="12" s="1"/>
  <c r="T185" i="12" s="1"/>
  <c r="AK165" i="11"/>
  <c r="O165" i="11"/>
  <c r="AJ151" i="11"/>
  <c r="AM151" i="11" s="1"/>
  <c r="AO151" i="11" s="1"/>
  <c r="AL151" i="11"/>
  <c r="AK151" i="11"/>
  <c r="P185" i="10"/>
  <c r="Q185" i="10" s="1"/>
  <c r="R185" i="10" s="1"/>
  <c r="S185" i="10" s="1"/>
  <c r="T185" i="10" s="1"/>
  <c r="F90" i="11"/>
  <c r="F85" i="11"/>
  <c r="J85" i="11" s="1"/>
  <c r="H61" i="11"/>
  <c r="F95" i="11"/>
  <c r="J60" i="11"/>
  <c r="N60" i="11" s="1"/>
  <c r="O60" i="11" s="1"/>
  <c r="P195" i="12"/>
  <c r="Q195" i="12" s="1"/>
  <c r="R195" i="12" s="1"/>
  <c r="S195" i="12" s="1"/>
  <c r="T195" i="12" s="1"/>
  <c r="H59" i="12"/>
  <c r="H63" i="12"/>
  <c r="H68" i="12"/>
  <c r="H48" i="12"/>
  <c r="F75" i="12"/>
  <c r="H53" i="12"/>
  <c r="J58" i="12"/>
  <c r="N58" i="12" s="1"/>
  <c r="N84" i="10"/>
  <c r="U165" i="10"/>
  <c r="Q165" i="10"/>
  <c r="P165" i="10"/>
  <c r="P79" i="10"/>
  <c r="Q79" i="10" s="1"/>
  <c r="R79" i="10" s="1"/>
  <c r="S79" i="10" s="1"/>
  <c r="T79" i="10" s="1"/>
  <c r="AK168" i="11"/>
  <c r="O168" i="11"/>
  <c r="P181" i="12"/>
  <c r="Q181" i="12" s="1"/>
  <c r="R181" i="12" s="1"/>
  <c r="S181" i="12" s="1"/>
  <c r="T181" i="12" s="1"/>
  <c r="U181" i="12" s="1"/>
  <c r="AK164" i="11"/>
  <c r="O164" i="11"/>
  <c r="S180" i="10"/>
  <c r="T180" i="10" s="1"/>
  <c r="R180" i="10"/>
  <c r="Q157" i="11"/>
  <c r="P157" i="11"/>
  <c r="U157" i="11"/>
  <c r="P184" i="10"/>
  <c r="Q184" i="10" s="1"/>
  <c r="R184" i="10" s="1"/>
  <c r="S184" i="10" s="1"/>
  <c r="T184" i="10" s="1"/>
  <c r="O155" i="10"/>
  <c r="AK155" i="10"/>
  <c r="Q50" i="10"/>
  <c r="R50" i="10" s="1"/>
  <c r="S50" i="10" s="1"/>
  <c r="T50" i="10" s="1"/>
  <c r="J73" i="11"/>
  <c r="N73" i="11" s="1"/>
  <c r="U80" i="10"/>
  <c r="AA80" i="10" s="1"/>
  <c r="AD80" i="10" s="1"/>
  <c r="AG80" i="10" s="1"/>
  <c r="P189" i="12"/>
  <c r="Q189" i="12" s="1"/>
  <c r="R189" i="12" s="1"/>
  <c r="S189" i="12" s="1"/>
  <c r="T189" i="12" s="1"/>
  <c r="U189" i="12" s="1"/>
  <c r="P156" i="12"/>
  <c r="H160" i="11"/>
  <c r="J160" i="11" s="1"/>
  <c r="N160" i="11" s="1"/>
  <c r="J159" i="11"/>
  <c r="N159" i="11" s="1"/>
  <c r="U183" i="10"/>
  <c r="P158" i="10"/>
  <c r="U158" i="10"/>
  <c r="Q158" i="10"/>
  <c r="Q78" i="10"/>
  <c r="R78" i="10" s="1"/>
  <c r="S78" i="10" s="1"/>
  <c r="T78" i="10" s="1"/>
  <c r="P151" i="12"/>
  <c r="Q151" i="12" s="1"/>
  <c r="R151" i="12" s="1"/>
  <c r="S151" i="12" s="1"/>
  <c r="T151" i="12" s="1"/>
  <c r="U151" i="12" s="1"/>
  <c r="P190" i="12"/>
  <c r="Q190" i="12" s="1"/>
  <c r="R190" i="12" s="1"/>
  <c r="S190" i="12" s="1"/>
  <c r="T190" i="12" s="1"/>
  <c r="AK157" i="12"/>
  <c r="O157" i="12"/>
  <c r="H174" i="12"/>
  <c r="J173" i="12"/>
  <c r="N173" i="12" s="1"/>
  <c r="AA48" i="10"/>
  <c r="AD48" i="10" s="1"/>
  <c r="AG48" i="10" s="1"/>
  <c r="V177" i="11"/>
  <c r="Q190" i="10"/>
  <c r="R190" i="10" s="1"/>
  <c r="S190" i="10" s="1"/>
  <c r="T190" i="10" s="1"/>
  <c r="Q189" i="10"/>
  <c r="R189" i="10" s="1"/>
  <c r="S189" i="10" s="1"/>
  <c r="T189" i="10" s="1"/>
  <c r="Q188" i="10"/>
  <c r="R188" i="10" s="1"/>
  <c r="S188" i="10" s="1"/>
  <c r="T188" i="10" s="1"/>
  <c r="K116" i="12"/>
  <c r="L115" i="12"/>
  <c r="M115" i="12" s="1"/>
  <c r="L111" i="12"/>
  <c r="M111" i="12" s="1"/>
  <c r="K112" i="12"/>
  <c r="L119" i="12"/>
  <c r="M119" i="12" s="1"/>
  <c r="K120" i="12"/>
  <c r="L85" i="11"/>
  <c r="M85" i="11" s="1"/>
  <c r="K86" i="11"/>
  <c r="K173" i="11"/>
  <c r="L172" i="11"/>
  <c r="M172" i="11" s="1"/>
  <c r="N172" i="11" s="1"/>
  <c r="R186" i="11"/>
  <c r="S186" i="11" s="1"/>
  <c r="T186" i="11" s="1"/>
  <c r="L168" i="11"/>
  <c r="M168" i="11" s="1"/>
  <c r="K169" i="11"/>
  <c r="P166" i="11"/>
  <c r="Q166" i="11" s="1"/>
  <c r="K45" i="11"/>
  <c r="L44" i="11"/>
  <c r="M44" i="11" s="1"/>
  <c r="K190" i="11"/>
  <c r="L190" i="11" s="1"/>
  <c r="M190" i="11" s="1"/>
  <c r="N190" i="11" s="1"/>
  <c r="L189" i="11"/>
  <c r="M189" i="11" s="1"/>
  <c r="N189" i="11" s="1"/>
  <c r="P63" i="11"/>
  <c r="K94" i="11"/>
  <c r="L93" i="11"/>
  <c r="M93" i="11" s="1"/>
  <c r="N93" i="11" s="1"/>
  <c r="K194" i="11"/>
  <c r="L193" i="11"/>
  <c r="M193" i="11" s="1"/>
  <c r="N193" i="11" s="1"/>
  <c r="O68" i="11"/>
  <c r="P187" i="11"/>
  <c r="Q187" i="11" s="1"/>
  <c r="K66" i="11"/>
  <c r="L65" i="11"/>
  <c r="M65" i="11" s="1"/>
  <c r="Q161" i="11"/>
  <c r="R161" i="11" s="1"/>
  <c r="S161" i="11" s="1"/>
  <c r="T161" i="11" s="1"/>
  <c r="O171" i="11"/>
  <c r="K198" i="11"/>
  <c r="L197" i="11"/>
  <c r="M197" i="11" s="1"/>
  <c r="N197" i="11" s="1"/>
  <c r="O188" i="11"/>
  <c r="L164" i="11"/>
  <c r="M164" i="11" s="1"/>
  <c r="K165" i="11"/>
  <c r="L165" i="11" s="1"/>
  <c r="M165" i="11" s="1"/>
  <c r="K37" i="11"/>
  <c r="L37" i="11" s="1"/>
  <c r="M37" i="11" s="1"/>
  <c r="L36" i="11"/>
  <c r="M36" i="11" s="1"/>
  <c r="O192" i="11"/>
  <c r="K70" i="11"/>
  <c r="L69" i="11"/>
  <c r="M69" i="11" s="1"/>
  <c r="R58" i="11"/>
  <c r="S58" i="11" s="1"/>
  <c r="T58" i="11" s="1"/>
  <c r="O196" i="11"/>
  <c r="P59" i="11"/>
  <c r="Q59" i="11" s="1"/>
  <c r="K41" i="11"/>
  <c r="L40" i="11"/>
  <c r="M40" i="11" s="1"/>
  <c r="P191" i="11"/>
  <c r="Q191" i="11" s="1"/>
  <c r="L89" i="11"/>
  <c r="M89" i="11" s="1"/>
  <c r="K90" i="11"/>
  <c r="L61" i="11"/>
  <c r="M61" i="11" s="1"/>
  <c r="K62" i="11"/>
  <c r="L62" i="11" s="1"/>
  <c r="M62" i="11" s="1"/>
  <c r="O85" i="2"/>
  <c r="U85" i="2" s="1"/>
  <c r="AK85" i="2"/>
  <c r="AH183" i="2"/>
  <c r="AI183" i="2" s="1"/>
  <c r="AL73" i="2"/>
  <c r="AJ73" i="2"/>
  <c r="AM73" i="2" s="1"/>
  <c r="AH152" i="2"/>
  <c r="AI152" i="2" s="1"/>
  <c r="AH178" i="2"/>
  <c r="AI178" i="2" s="1"/>
  <c r="U186" i="10"/>
  <c r="AA186" i="10" s="1"/>
  <c r="AD186" i="10" s="1"/>
  <c r="AG186" i="10" s="1"/>
  <c r="L198" i="10"/>
  <c r="M198" i="10" s="1"/>
  <c r="N198" i="10" s="1"/>
  <c r="K199" i="10"/>
  <c r="O163" i="10"/>
  <c r="O167" i="10"/>
  <c r="P196" i="10"/>
  <c r="Q196" i="10" s="1"/>
  <c r="K70" i="10"/>
  <c r="L69" i="10"/>
  <c r="M69" i="10" s="1"/>
  <c r="N69" i="10" s="1"/>
  <c r="O193" i="10"/>
  <c r="K90" i="10"/>
  <c r="L89" i="10"/>
  <c r="M89" i="10" s="1"/>
  <c r="N89" i="10" s="1"/>
  <c r="O171" i="10"/>
  <c r="O64" i="10"/>
  <c r="L85" i="10"/>
  <c r="M85" i="10" s="1"/>
  <c r="N85" i="10" s="1"/>
  <c r="O85" i="10" s="1"/>
  <c r="P85" i="10" s="1"/>
  <c r="K86" i="10"/>
  <c r="P166" i="10"/>
  <c r="Q166" i="10" s="1"/>
  <c r="K169" i="10"/>
  <c r="L168" i="10"/>
  <c r="M168" i="10" s="1"/>
  <c r="N168" i="10" s="1"/>
  <c r="R161" i="10"/>
  <c r="S161" i="10" s="1"/>
  <c r="T161" i="10" s="1"/>
  <c r="O68" i="10"/>
  <c r="L194" i="10"/>
  <c r="M194" i="10" s="1"/>
  <c r="N194" i="10" s="1"/>
  <c r="K195" i="10"/>
  <c r="L195" i="10" s="1"/>
  <c r="M195" i="10" s="1"/>
  <c r="N195" i="10" s="1"/>
  <c r="Q162" i="10"/>
  <c r="P162" i="10"/>
  <c r="Y157" i="10"/>
  <c r="Z157" i="10" s="1"/>
  <c r="AC157" i="10" s="1"/>
  <c r="AF157" i="10" s="1"/>
  <c r="AB157" i="10"/>
  <c r="AE157" i="10" s="1"/>
  <c r="Q187" i="10"/>
  <c r="R187" i="10" s="1"/>
  <c r="S187" i="10" s="1"/>
  <c r="T187" i="10" s="1"/>
  <c r="K45" i="10"/>
  <c r="L44" i="10"/>
  <c r="M44" i="10" s="1"/>
  <c r="O197" i="10"/>
  <c r="L40" i="10"/>
  <c r="M40" i="10" s="1"/>
  <c r="K41" i="10"/>
  <c r="AH156" i="10"/>
  <c r="AI156" i="10" s="1"/>
  <c r="L93" i="10"/>
  <c r="M93" i="10" s="1"/>
  <c r="N93" i="10" s="1"/>
  <c r="K94" i="10"/>
  <c r="P192" i="10"/>
  <c r="Q192" i="10" s="1"/>
  <c r="K62" i="10"/>
  <c r="L62" i="10" s="1"/>
  <c r="M62" i="10" s="1"/>
  <c r="N62" i="10" s="1"/>
  <c r="O62" i="10" s="1"/>
  <c r="P62" i="10" s="1"/>
  <c r="L61" i="10"/>
  <c r="M61" i="10" s="1"/>
  <c r="N61" i="10" s="1"/>
  <c r="O61" i="10" s="1"/>
  <c r="P61" i="10" s="1"/>
  <c r="P63" i="10"/>
  <c r="K165" i="10"/>
  <c r="L165" i="10" s="1"/>
  <c r="M165" i="10" s="1"/>
  <c r="L164" i="10"/>
  <c r="M164" i="10" s="1"/>
  <c r="R191" i="10"/>
  <c r="S191" i="10" s="1"/>
  <c r="T191" i="10" s="1"/>
  <c r="K173" i="10"/>
  <c r="L172" i="10"/>
  <c r="M172" i="10" s="1"/>
  <c r="N172" i="10" s="1"/>
  <c r="R58" i="10"/>
  <c r="S58" i="10" s="1"/>
  <c r="T58" i="10" s="1"/>
  <c r="K66" i="10"/>
  <c r="L65" i="10"/>
  <c r="M65" i="10" s="1"/>
  <c r="N65" i="10" s="1"/>
  <c r="O84" i="10"/>
  <c r="P59" i="10"/>
  <c r="Q59" i="10" s="1"/>
  <c r="K37" i="10"/>
  <c r="L37" i="10" s="1"/>
  <c r="M37" i="10" s="1"/>
  <c r="L36" i="10"/>
  <c r="M36" i="10" s="1"/>
  <c r="P83" i="10"/>
  <c r="O60" i="10"/>
  <c r="J142" i="2"/>
  <c r="P126" i="2"/>
  <c r="Q126" i="2" s="1"/>
  <c r="P189" i="2"/>
  <c r="P75" i="2"/>
  <c r="S184" i="2"/>
  <c r="T184" i="2" s="1"/>
  <c r="S153" i="2"/>
  <c r="T153" i="2" s="1"/>
  <c r="S179" i="2"/>
  <c r="T179" i="2" s="1"/>
  <c r="S188" i="2"/>
  <c r="T188" i="2" s="1"/>
  <c r="H24" i="2"/>
  <c r="H25" i="2" s="1"/>
  <c r="H26" i="2" s="1"/>
  <c r="H27" i="2" s="1"/>
  <c r="F53" i="2"/>
  <c r="J53" i="2" s="1"/>
  <c r="F68" i="2"/>
  <c r="J68" i="2" s="1"/>
  <c r="F63" i="2"/>
  <c r="J63" i="2" s="1"/>
  <c r="F58" i="2"/>
  <c r="J58" i="2" s="1"/>
  <c r="F48" i="2"/>
  <c r="J48" i="2" s="1"/>
  <c r="H28" i="2"/>
  <c r="R179" i="2"/>
  <c r="K27" i="2"/>
  <c r="L27" i="2" s="1"/>
  <c r="M27" i="2" s="1"/>
  <c r="L26" i="2"/>
  <c r="M26" i="2" s="1"/>
  <c r="K176" i="2"/>
  <c r="K152" i="2"/>
  <c r="L151" i="2"/>
  <c r="M151" i="2" s="1"/>
  <c r="N151" i="2" s="1"/>
  <c r="R153" i="2"/>
  <c r="R184" i="2"/>
  <c r="O155" i="2"/>
  <c r="U155" i="2" s="1"/>
  <c r="I157" i="2"/>
  <c r="J156" i="2"/>
  <c r="Q154" i="2"/>
  <c r="P154" i="2"/>
  <c r="O81" i="2"/>
  <c r="U81" i="2" s="1"/>
  <c r="O80" i="2"/>
  <c r="U80" i="2" s="1"/>
  <c r="H71" i="2"/>
  <c r="F97" i="2" s="1"/>
  <c r="H67" i="2"/>
  <c r="O76" i="2"/>
  <c r="U76" i="2" s="1"/>
  <c r="Q75" i="2"/>
  <c r="H62" i="2"/>
  <c r="R188" i="2"/>
  <c r="Q189" i="2"/>
  <c r="H199" i="2"/>
  <c r="J198" i="2"/>
  <c r="H195" i="2"/>
  <c r="J195" i="2" s="1"/>
  <c r="N195" i="2" s="1"/>
  <c r="AK195" i="2" s="1"/>
  <c r="J194" i="2"/>
  <c r="N194" i="2" s="1"/>
  <c r="AK194" i="2" s="1"/>
  <c r="H174" i="2"/>
  <c r="H170" i="2"/>
  <c r="H147" i="2"/>
  <c r="J146" i="2"/>
  <c r="H120" i="2"/>
  <c r="H116" i="2"/>
  <c r="O86" i="2"/>
  <c r="U86" i="2" s="1"/>
  <c r="J92" i="2"/>
  <c r="N92" i="2" s="1"/>
  <c r="AK92" i="2" s="1"/>
  <c r="J91" i="2"/>
  <c r="N91" i="2" s="1"/>
  <c r="AK91" i="2" s="1"/>
  <c r="J95" i="2"/>
  <c r="J124" i="2"/>
  <c r="J128" i="2"/>
  <c r="J133" i="2"/>
  <c r="J176" i="2"/>
  <c r="N176" i="2" s="1"/>
  <c r="J186" i="2"/>
  <c r="J181" i="2"/>
  <c r="X178" i="12" l="1"/>
  <c r="V53" i="10"/>
  <c r="Z48" i="10"/>
  <c r="AC48" i="10" s="1"/>
  <c r="AF48" i="10" s="1"/>
  <c r="N69" i="11"/>
  <c r="N85" i="11"/>
  <c r="AA176" i="11"/>
  <c r="AD176" i="11" s="1"/>
  <c r="AG176" i="11" s="1"/>
  <c r="Y178" i="12"/>
  <c r="Z178" i="12" s="1"/>
  <c r="AC178" i="12" s="1"/>
  <c r="AF178" i="12" s="1"/>
  <c r="AA193" i="12"/>
  <c r="AD193" i="12" s="1"/>
  <c r="AG193" i="12" s="1"/>
  <c r="AB181" i="10"/>
  <c r="AE181" i="10" s="1"/>
  <c r="Y181" i="10"/>
  <c r="Z181" i="10" s="1"/>
  <c r="AC181" i="10" s="1"/>
  <c r="AF181" i="10" s="1"/>
  <c r="AH178" i="12"/>
  <c r="AI178" i="12" s="1"/>
  <c r="AK178" i="12" s="1"/>
  <c r="V74" i="10"/>
  <c r="X74" i="10" s="1"/>
  <c r="V80" i="10"/>
  <c r="X80" i="10" s="1"/>
  <c r="U190" i="12"/>
  <c r="V190" i="12" s="1"/>
  <c r="W190" i="12" s="1"/>
  <c r="U184" i="10"/>
  <c r="V184" i="10" s="1"/>
  <c r="U79" i="10"/>
  <c r="V79" i="10" s="1"/>
  <c r="V171" i="12"/>
  <c r="Y182" i="12"/>
  <c r="AB182" i="12"/>
  <c r="AE182" i="12" s="1"/>
  <c r="U177" i="12"/>
  <c r="AA177" i="12" s="1"/>
  <c r="AD177" i="12" s="1"/>
  <c r="AG177" i="12" s="1"/>
  <c r="AA186" i="12"/>
  <c r="AD186" i="12" s="1"/>
  <c r="AG186" i="12" s="1"/>
  <c r="W176" i="11"/>
  <c r="X176" i="11"/>
  <c r="AA151" i="12"/>
  <c r="AD151" i="12" s="1"/>
  <c r="AG151" i="12" s="1"/>
  <c r="U176" i="12"/>
  <c r="V184" i="12"/>
  <c r="V199" i="12"/>
  <c r="X199" i="12" s="1"/>
  <c r="U194" i="12"/>
  <c r="V194" i="12" s="1"/>
  <c r="X194" i="12" s="1"/>
  <c r="U55" i="10"/>
  <c r="U54" i="10"/>
  <c r="AA54" i="10" s="1"/>
  <c r="AD54" i="10" s="1"/>
  <c r="AG54" i="10" s="1"/>
  <c r="U82" i="10"/>
  <c r="V82" i="10" s="1"/>
  <c r="W82" i="10" s="1"/>
  <c r="U179" i="12"/>
  <c r="AA179" i="12" s="1"/>
  <c r="AD179" i="12" s="1"/>
  <c r="AG179" i="12" s="1"/>
  <c r="AB161" i="12"/>
  <c r="AE161" i="12" s="1"/>
  <c r="Y161" i="12"/>
  <c r="X193" i="12"/>
  <c r="W193" i="12"/>
  <c r="U78" i="10"/>
  <c r="V78" i="10" s="1"/>
  <c r="U164" i="11"/>
  <c r="P164" i="11"/>
  <c r="Q164" i="11"/>
  <c r="P185" i="11"/>
  <c r="Q185" i="11" s="1"/>
  <c r="R185" i="11" s="1"/>
  <c r="S185" i="11" s="1"/>
  <c r="T185" i="11" s="1"/>
  <c r="J147" i="2"/>
  <c r="H133" i="10"/>
  <c r="U50" i="10"/>
  <c r="V50" i="10" s="1"/>
  <c r="R157" i="11"/>
  <c r="S157" i="11"/>
  <c r="T157" i="11" s="1"/>
  <c r="U168" i="11"/>
  <c r="P168" i="11"/>
  <c r="Q168" i="11"/>
  <c r="H56" i="11"/>
  <c r="F84" i="11"/>
  <c r="J84" i="11" s="1"/>
  <c r="N84" i="11" s="1"/>
  <c r="O84" i="11" s="1"/>
  <c r="F89" i="11"/>
  <c r="J55" i="11"/>
  <c r="N55" i="11" s="1"/>
  <c r="O55" i="11" s="1"/>
  <c r="P78" i="11"/>
  <c r="Q78" i="11"/>
  <c r="R78" i="11" s="1"/>
  <c r="S78" i="11" s="1"/>
  <c r="T78" i="11" s="1"/>
  <c r="U78" i="11" s="1"/>
  <c r="O174" i="11"/>
  <c r="AK174" i="11"/>
  <c r="F105" i="12"/>
  <c r="F120" i="12"/>
  <c r="F110" i="12"/>
  <c r="H78" i="12"/>
  <c r="H93" i="12"/>
  <c r="F100" i="12"/>
  <c r="H88" i="12"/>
  <c r="H73" i="12"/>
  <c r="F115" i="12"/>
  <c r="H84" i="12"/>
  <c r="H85" i="12" s="1"/>
  <c r="H86" i="12" s="1"/>
  <c r="H87" i="12" s="1"/>
  <c r="AK153" i="12"/>
  <c r="O153" i="12"/>
  <c r="Y151" i="10"/>
  <c r="Z151" i="10" s="1"/>
  <c r="AC151" i="10" s="1"/>
  <c r="AF151" i="10" s="1"/>
  <c r="AB151" i="10"/>
  <c r="AE151" i="10" s="1"/>
  <c r="F147" i="10"/>
  <c r="F142" i="10"/>
  <c r="F132" i="10"/>
  <c r="F137" i="10"/>
  <c r="H119" i="10"/>
  <c r="F127" i="10"/>
  <c r="J118" i="10"/>
  <c r="H160" i="12"/>
  <c r="J160" i="12" s="1"/>
  <c r="N160" i="12" s="1"/>
  <c r="J159" i="12"/>
  <c r="N159" i="12" s="1"/>
  <c r="U152" i="12"/>
  <c r="Q152" i="12"/>
  <c r="P152" i="12"/>
  <c r="U154" i="10"/>
  <c r="P154" i="10"/>
  <c r="Q154" i="10"/>
  <c r="AB176" i="10"/>
  <c r="AE176" i="10" s="1"/>
  <c r="Y176" i="10"/>
  <c r="Z176" i="10" s="1"/>
  <c r="AC176" i="10" s="1"/>
  <c r="AF176" i="10" s="1"/>
  <c r="AA191" i="12"/>
  <c r="AD191" i="12" s="1"/>
  <c r="AG191" i="12" s="1"/>
  <c r="V183" i="10"/>
  <c r="Q156" i="12"/>
  <c r="R156" i="12"/>
  <c r="S156" i="12" s="1"/>
  <c r="T156" i="12" s="1"/>
  <c r="S165" i="10"/>
  <c r="T165" i="10" s="1"/>
  <c r="R165" i="10"/>
  <c r="F74" i="12"/>
  <c r="H54" i="12"/>
  <c r="J53" i="12"/>
  <c r="N53" i="12" s="1"/>
  <c r="O53" i="12" s="1"/>
  <c r="H64" i="12"/>
  <c r="F76" i="12"/>
  <c r="J63" i="12"/>
  <c r="N63" i="12" s="1"/>
  <c r="U165" i="11"/>
  <c r="Q165" i="11"/>
  <c r="P165" i="11"/>
  <c r="F87" i="11"/>
  <c r="J87" i="11" s="1"/>
  <c r="H71" i="11"/>
  <c r="J70" i="11"/>
  <c r="W180" i="11"/>
  <c r="AC180" i="11"/>
  <c r="AF180" i="11" s="1"/>
  <c r="AD180" i="11"/>
  <c r="AG180" i="11" s="1"/>
  <c r="Y180" i="11"/>
  <c r="Z180" i="11"/>
  <c r="AB180" i="11"/>
  <c r="AE180" i="11" s="1"/>
  <c r="V180" i="11"/>
  <c r="X180" i="11"/>
  <c r="AA180" i="11"/>
  <c r="S164" i="10"/>
  <c r="T164" i="10" s="1"/>
  <c r="R164" i="10"/>
  <c r="R167" i="11"/>
  <c r="S167" i="11"/>
  <c r="T167" i="11" s="1"/>
  <c r="AK169" i="11"/>
  <c r="O169" i="11"/>
  <c r="P170" i="10"/>
  <c r="U170" i="10"/>
  <c r="Q170" i="10"/>
  <c r="R162" i="12"/>
  <c r="S162" i="12"/>
  <c r="T162" i="12" s="1"/>
  <c r="AK175" i="11"/>
  <c r="O175" i="11"/>
  <c r="S153" i="10"/>
  <c r="T153" i="10" s="1"/>
  <c r="R153" i="10"/>
  <c r="Q163" i="12"/>
  <c r="P163" i="12"/>
  <c r="U163" i="12"/>
  <c r="Q187" i="12"/>
  <c r="R187" i="12" s="1"/>
  <c r="S187" i="12" s="1"/>
  <c r="T187" i="12" s="1"/>
  <c r="AA162" i="11"/>
  <c r="AC162" i="11"/>
  <c r="AF162" i="11" s="1"/>
  <c r="W162" i="11"/>
  <c r="V162" i="11"/>
  <c r="AD162" i="11"/>
  <c r="AG162" i="11" s="1"/>
  <c r="Z162" i="11"/>
  <c r="Y162" i="11"/>
  <c r="AB162" i="11"/>
  <c r="AE162" i="11" s="1"/>
  <c r="X162" i="11"/>
  <c r="F119" i="11"/>
  <c r="F99" i="11"/>
  <c r="H79" i="11"/>
  <c r="H80" i="11" s="1"/>
  <c r="F109" i="11"/>
  <c r="F114" i="11"/>
  <c r="F104" i="11"/>
  <c r="H155" i="12"/>
  <c r="J155" i="12" s="1"/>
  <c r="N155" i="12" s="1"/>
  <c r="J154" i="12"/>
  <c r="N154" i="12" s="1"/>
  <c r="P48" i="11"/>
  <c r="Q48" i="11" s="1"/>
  <c r="R48" i="11" s="1"/>
  <c r="S48" i="11" s="1"/>
  <c r="T48" i="11" s="1"/>
  <c r="P159" i="10"/>
  <c r="U159" i="10"/>
  <c r="Q159" i="10"/>
  <c r="AA192" i="12"/>
  <c r="AD192" i="12" s="1"/>
  <c r="AG192" i="12" s="1"/>
  <c r="V192" i="12"/>
  <c r="X192" i="12" s="1"/>
  <c r="H110" i="11"/>
  <c r="J110" i="11" s="1"/>
  <c r="F146" i="10"/>
  <c r="F126" i="10"/>
  <c r="H114" i="10"/>
  <c r="F136" i="10"/>
  <c r="F141" i="10"/>
  <c r="H110" i="12"/>
  <c r="H111" i="12" s="1"/>
  <c r="H112" i="12" s="1"/>
  <c r="F131" i="10"/>
  <c r="H108" i="11"/>
  <c r="J113" i="10"/>
  <c r="Q173" i="11"/>
  <c r="U173" i="11"/>
  <c r="P173" i="11"/>
  <c r="O158" i="12"/>
  <c r="AK158" i="12"/>
  <c r="AA183" i="10"/>
  <c r="AD183" i="10" s="1"/>
  <c r="AG183" i="10" s="1"/>
  <c r="P167" i="12"/>
  <c r="Q167" i="12"/>
  <c r="U167" i="12"/>
  <c r="AA181" i="11"/>
  <c r="AD181" i="11" s="1"/>
  <c r="AG181" i="11" s="1"/>
  <c r="V181" i="11"/>
  <c r="AH48" i="10"/>
  <c r="AI48" i="10" s="1"/>
  <c r="V73" i="10"/>
  <c r="V191" i="12"/>
  <c r="W177" i="11"/>
  <c r="X177" i="11"/>
  <c r="U157" i="12"/>
  <c r="P157" i="12"/>
  <c r="Q157" i="12"/>
  <c r="S158" i="10"/>
  <c r="T158" i="10" s="1"/>
  <c r="R158" i="10"/>
  <c r="O58" i="12"/>
  <c r="H69" i="12"/>
  <c r="F77" i="12"/>
  <c r="J68" i="12"/>
  <c r="N68" i="12" s="1"/>
  <c r="AK173" i="12"/>
  <c r="O173" i="12"/>
  <c r="V151" i="12"/>
  <c r="W151" i="12" s="1"/>
  <c r="Y151" i="12" s="1"/>
  <c r="X151" i="12"/>
  <c r="AK159" i="11"/>
  <c r="O159" i="11"/>
  <c r="O73" i="11"/>
  <c r="V181" i="12"/>
  <c r="W181" i="12" s="1"/>
  <c r="F80" i="12"/>
  <c r="H60" i="12"/>
  <c r="J59" i="12"/>
  <c r="N59" i="12" s="1"/>
  <c r="AA197" i="12"/>
  <c r="AD197" i="12" s="1"/>
  <c r="AG197" i="12" s="1"/>
  <c r="X182" i="10"/>
  <c r="W182" i="10"/>
  <c r="P172" i="12"/>
  <c r="Q172" i="12" s="1"/>
  <c r="R172" i="12" s="1"/>
  <c r="S172" i="12" s="1"/>
  <c r="T172" i="12" s="1"/>
  <c r="R182" i="11"/>
  <c r="S182" i="11" s="1"/>
  <c r="T182" i="11" s="1"/>
  <c r="O75" i="10"/>
  <c r="P75" i="10" s="1"/>
  <c r="P54" i="11"/>
  <c r="Q54" i="11" s="1"/>
  <c r="R54" i="11" s="1"/>
  <c r="S54" i="11" s="1"/>
  <c r="T54" i="11" s="1"/>
  <c r="Y178" i="11"/>
  <c r="Z178" i="11" s="1"/>
  <c r="AC178" i="11" s="1"/>
  <c r="AF178" i="11" s="1"/>
  <c r="AB178" i="11"/>
  <c r="AE178" i="11" s="1"/>
  <c r="AH178" i="11" s="1"/>
  <c r="AI178" i="11" s="1"/>
  <c r="V49" i="10"/>
  <c r="AA171" i="12"/>
  <c r="AD171" i="12" s="1"/>
  <c r="AG171" i="12" s="1"/>
  <c r="X171" i="12"/>
  <c r="W171" i="12"/>
  <c r="Y171" i="12" s="1"/>
  <c r="Z171" i="12" s="1"/>
  <c r="AC171" i="12" s="1"/>
  <c r="AF171" i="12" s="1"/>
  <c r="O49" i="11"/>
  <c r="X182" i="12"/>
  <c r="W184" i="12"/>
  <c r="Y184" i="12" s="1"/>
  <c r="X184" i="12"/>
  <c r="AA184" i="12"/>
  <c r="AD184" i="12" s="1"/>
  <c r="AG184" i="12" s="1"/>
  <c r="O170" i="11"/>
  <c r="AK170" i="11"/>
  <c r="X152" i="11"/>
  <c r="Z152" i="11"/>
  <c r="AB152" i="11"/>
  <c r="AE152" i="11" s="1"/>
  <c r="AD152" i="11"/>
  <c r="AG152" i="11" s="1"/>
  <c r="Y152" i="11"/>
  <c r="V152" i="11"/>
  <c r="AC152" i="11"/>
  <c r="AF152" i="11" s="1"/>
  <c r="W152" i="11"/>
  <c r="AA152" i="11"/>
  <c r="AA199" i="12"/>
  <c r="AD199" i="12" s="1"/>
  <c r="AG199" i="12" s="1"/>
  <c r="R163" i="11"/>
  <c r="S163" i="11"/>
  <c r="T163" i="11" s="1"/>
  <c r="AK179" i="10"/>
  <c r="AJ179" i="10"/>
  <c r="AM179" i="10" s="1"/>
  <c r="AO179" i="10" s="1"/>
  <c r="AL179" i="10"/>
  <c r="X161" i="12"/>
  <c r="AA152" i="10"/>
  <c r="V152" i="10"/>
  <c r="AB152" i="10"/>
  <c r="AE152" i="10" s="1"/>
  <c r="AD152" i="10"/>
  <c r="AG152" i="10" s="1"/>
  <c r="Y152" i="10"/>
  <c r="Z152" i="10"/>
  <c r="AC152" i="10"/>
  <c r="AF152" i="10" s="1"/>
  <c r="W152" i="10"/>
  <c r="X152" i="10"/>
  <c r="V166" i="12"/>
  <c r="X166" i="12" s="1"/>
  <c r="F113" i="11"/>
  <c r="F118" i="11"/>
  <c r="H74" i="11"/>
  <c r="F98" i="11"/>
  <c r="F108" i="11"/>
  <c r="F103" i="11"/>
  <c r="V53" i="11"/>
  <c r="X53" i="11" s="1"/>
  <c r="O168" i="12"/>
  <c r="AK168" i="12"/>
  <c r="O51" i="10"/>
  <c r="P51" i="10" s="1"/>
  <c r="P56" i="10"/>
  <c r="Q56" i="10" s="1"/>
  <c r="F86" i="11"/>
  <c r="J86" i="11" s="1"/>
  <c r="H66" i="11"/>
  <c r="J65" i="11"/>
  <c r="N65" i="11" s="1"/>
  <c r="O65" i="11" s="1"/>
  <c r="AB178" i="10"/>
  <c r="AE178" i="10" s="1"/>
  <c r="Y178" i="10"/>
  <c r="Z178" i="10" s="1"/>
  <c r="AC178" i="10" s="1"/>
  <c r="AF178" i="10" s="1"/>
  <c r="H110" i="10"/>
  <c r="J109" i="10"/>
  <c r="AK164" i="12"/>
  <c r="O164" i="12"/>
  <c r="S153" i="11"/>
  <c r="T153" i="11" s="1"/>
  <c r="R153" i="11"/>
  <c r="V186" i="12"/>
  <c r="W186" i="12" s="1"/>
  <c r="Y186" i="12" s="1"/>
  <c r="V188" i="12"/>
  <c r="H62" i="11"/>
  <c r="J62" i="11" s="1"/>
  <c r="N62" i="11" s="1"/>
  <c r="O62" i="11" s="1"/>
  <c r="J61" i="11"/>
  <c r="N61" i="11" s="1"/>
  <c r="O61" i="11" s="1"/>
  <c r="Q85" i="2"/>
  <c r="P85" i="2"/>
  <c r="H175" i="12"/>
  <c r="J175" i="12" s="1"/>
  <c r="N175" i="12" s="1"/>
  <c r="J174" i="12"/>
  <c r="N174" i="12" s="1"/>
  <c r="AK160" i="11"/>
  <c r="O160" i="11"/>
  <c r="V189" i="12"/>
  <c r="W189" i="12" s="1"/>
  <c r="AA189" i="12"/>
  <c r="AD189" i="12" s="1"/>
  <c r="AG189" i="12" s="1"/>
  <c r="U155" i="10"/>
  <c r="Q155" i="10"/>
  <c r="P155" i="10"/>
  <c r="Y180" i="10"/>
  <c r="W180" i="10"/>
  <c r="AB180" i="10"/>
  <c r="AE180" i="10" s="1"/>
  <c r="AD180" i="10"/>
  <c r="AG180" i="10" s="1"/>
  <c r="X180" i="10"/>
  <c r="Z180" i="10"/>
  <c r="AA180" i="10"/>
  <c r="V180" i="10"/>
  <c r="AC180" i="10"/>
  <c r="AF180" i="10" s="1"/>
  <c r="AA181" i="12"/>
  <c r="AD181" i="12" s="1"/>
  <c r="AG181" i="12" s="1"/>
  <c r="X181" i="12"/>
  <c r="H49" i="12"/>
  <c r="F73" i="12"/>
  <c r="J73" i="12" s="1"/>
  <c r="N73" i="12" s="1"/>
  <c r="J48" i="12"/>
  <c r="N48" i="12" s="1"/>
  <c r="O48" i="12" s="1"/>
  <c r="U195" i="12"/>
  <c r="V195" i="12" s="1"/>
  <c r="W195" i="12" s="1"/>
  <c r="U185" i="10"/>
  <c r="V185" i="10" s="1"/>
  <c r="X185" i="10" s="1"/>
  <c r="U185" i="12"/>
  <c r="V197" i="12"/>
  <c r="X197" i="12" s="1"/>
  <c r="W197" i="12"/>
  <c r="Y197" i="12" s="1"/>
  <c r="U183" i="12"/>
  <c r="P158" i="11"/>
  <c r="U158" i="11"/>
  <c r="Q158" i="11"/>
  <c r="U81" i="10"/>
  <c r="V81" i="10" s="1"/>
  <c r="W81" i="10" s="1"/>
  <c r="H77" i="10"/>
  <c r="J77" i="10" s="1"/>
  <c r="N77" i="10" s="1"/>
  <c r="J76" i="10"/>
  <c r="N76" i="10" s="1"/>
  <c r="O76" i="10" s="1"/>
  <c r="P76" i="10" s="1"/>
  <c r="F83" i="11"/>
  <c r="J83" i="11" s="1"/>
  <c r="N83" i="11" s="1"/>
  <c r="O83" i="11" s="1"/>
  <c r="P83" i="11" s="1"/>
  <c r="Q83" i="11" s="1"/>
  <c r="H51" i="11"/>
  <c r="J50" i="11"/>
  <c r="N50" i="11" s="1"/>
  <c r="P160" i="10"/>
  <c r="Q160" i="10"/>
  <c r="U160" i="10"/>
  <c r="P184" i="11"/>
  <c r="U200" i="12"/>
  <c r="V200" i="12" s="1"/>
  <c r="AH177" i="10"/>
  <c r="AI177" i="10" s="1"/>
  <c r="P155" i="11"/>
  <c r="U155" i="11"/>
  <c r="Q155" i="11"/>
  <c r="AA166" i="12"/>
  <c r="AD166" i="12" s="1"/>
  <c r="AG166" i="12" s="1"/>
  <c r="F122" i="11"/>
  <c r="H94" i="11"/>
  <c r="H95" i="11" s="1"/>
  <c r="H96" i="11" s="1"/>
  <c r="H97" i="11" s="1"/>
  <c r="F107" i="11"/>
  <c r="F102" i="11"/>
  <c r="F117" i="11"/>
  <c r="F112" i="11"/>
  <c r="F111" i="11"/>
  <c r="H89" i="11"/>
  <c r="H90" i="11" s="1"/>
  <c r="H91" i="11" s="1"/>
  <c r="H92" i="11" s="1"/>
  <c r="J92" i="11" s="1"/>
  <c r="F121" i="11"/>
  <c r="F116" i="11"/>
  <c r="F101" i="11"/>
  <c r="F106" i="11"/>
  <c r="J169" i="12"/>
  <c r="N169" i="12" s="1"/>
  <c r="H170" i="12"/>
  <c r="J170" i="12" s="1"/>
  <c r="N170" i="12" s="1"/>
  <c r="F88" i="10"/>
  <c r="J88" i="10" s="1"/>
  <c r="N88" i="10" s="1"/>
  <c r="O88" i="10" s="1"/>
  <c r="J52" i="10"/>
  <c r="N52" i="10" s="1"/>
  <c r="O52" i="10" s="1"/>
  <c r="P52" i="10" s="1"/>
  <c r="P57" i="10"/>
  <c r="Q57" i="10"/>
  <c r="R57" i="10" s="1"/>
  <c r="S57" i="10" s="1"/>
  <c r="T57" i="10" s="1"/>
  <c r="U57" i="10" s="1"/>
  <c r="V57" i="10" s="1"/>
  <c r="Q183" i="11"/>
  <c r="R183" i="11" s="1"/>
  <c r="S183" i="11" s="1"/>
  <c r="T183" i="11" s="1"/>
  <c r="U196" i="12"/>
  <c r="F139" i="10"/>
  <c r="F144" i="10"/>
  <c r="F134" i="10"/>
  <c r="F129" i="10"/>
  <c r="H104" i="10"/>
  <c r="F124" i="10"/>
  <c r="J103" i="10"/>
  <c r="F143" i="10"/>
  <c r="F138" i="10"/>
  <c r="F123" i="10"/>
  <c r="F133" i="10"/>
  <c r="J133" i="10" s="1"/>
  <c r="H99" i="10"/>
  <c r="F128" i="10"/>
  <c r="J98" i="10"/>
  <c r="AB156" i="11"/>
  <c r="AE156" i="11" s="1"/>
  <c r="Y156" i="11"/>
  <c r="Z156" i="11" s="1"/>
  <c r="AC156" i="11" s="1"/>
  <c r="AF156" i="11" s="1"/>
  <c r="P154" i="11"/>
  <c r="U154" i="11"/>
  <c r="Q154" i="11"/>
  <c r="S180" i="12"/>
  <c r="T180" i="12" s="1"/>
  <c r="R180" i="12"/>
  <c r="AK165" i="12"/>
  <c r="O165" i="12"/>
  <c r="W80" i="10"/>
  <c r="V179" i="11"/>
  <c r="V198" i="12"/>
  <c r="AA198" i="12"/>
  <c r="AD198" i="12" s="1"/>
  <c r="AG198" i="12" s="1"/>
  <c r="U190" i="10"/>
  <c r="AA190" i="10" s="1"/>
  <c r="AD190" i="10" s="1"/>
  <c r="AG190" i="10" s="1"/>
  <c r="U188" i="10"/>
  <c r="V188" i="10" s="1"/>
  <c r="X188" i="10" s="1"/>
  <c r="U189" i="10"/>
  <c r="AA189" i="10" s="1"/>
  <c r="AD189" i="10" s="1"/>
  <c r="AG189" i="10" s="1"/>
  <c r="Q85" i="10"/>
  <c r="R85" i="10" s="1"/>
  <c r="S85" i="10" s="1"/>
  <c r="T85" i="10" s="1"/>
  <c r="Q62" i="10"/>
  <c r="R62" i="10" s="1"/>
  <c r="S62" i="10" s="1"/>
  <c r="T62" i="10" s="1"/>
  <c r="O195" i="10"/>
  <c r="O194" i="10"/>
  <c r="P194" i="10" s="1"/>
  <c r="Q61" i="10"/>
  <c r="R61" i="10" s="1"/>
  <c r="S61" i="10" s="1"/>
  <c r="T61" i="10" s="1"/>
  <c r="L120" i="12"/>
  <c r="M120" i="12" s="1"/>
  <c r="K121" i="12"/>
  <c r="L116" i="12"/>
  <c r="M116" i="12" s="1"/>
  <c r="K117" i="12"/>
  <c r="L117" i="12" s="1"/>
  <c r="M117" i="12" s="1"/>
  <c r="L112" i="12"/>
  <c r="M112" i="12" s="1"/>
  <c r="K123" i="12"/>
  <c r="U161" i="11"/>
  <c r="V161" i="11" s="1"/>
  <c r="U186" i="11"/>
  <c r="U58" i="11"/>
  <c r="V58" i="11" s="1"/>
  <c r="L70" i="11"/>
  <c r="M70" i="11" s="1"/>
  <c r="K71" i="11"/>
  <c r="K199" i="11"/>
  <c r="L198" i="11"/>
  <c r="M198" i="11" s="1"/>
  <c r="N198" i="11" s="1"/>
  <c r="P84" i="11"/>
  <c r="Q84" i="11" s="1"/>
  <c r="O193" i="11"/>
  <c r="O189" i="11"/>
  <c r="R166" i="11"/>
  <c r="S166" i="11" s="1"/>
  <c r="T166" i="11" s="1"/>
  <c r="K170" i="11"/>
  <c r="L170" i="11" s="1"/>
  <c r="M170" i="11" s="1"/>
  <c r="L169" i="11"/>
  <c r="M169" i="11" s="1"/>
  <c r="P64" i="11"/>
  <c r="K174" i="11"/>
  <c r="L173" i="11"/>
  <c r="M173" i="11" s="1"/>
  <c r="P192" i="11"/>
  <c r="P171" i="11"/>
  <c r="K195" i="11"/>
  <c r="L195" i="11" s="1"/>
  <c r="M195" i="11" s="1"/>
  <c r="N195" i="11" s="1"/>
  <c r="L194" i="11"/>
  <c r="M194" i="11" s="1"/>
  <c r="N194" i="11" s="1"/>
  <c r="O190" i="11"/>
  <c r="K87" i="11"/>
  <c r="L86" i="11"/>
  <c r="M86" i="11" s="1"/>
  <c r="N86" i="11" s="1"/>
  <c r="R191" i="11"/>
  <c r="S191" i="11" s="1"/>
  <c r="T191" i="11" s="1"/>
  <c r="L41" i="11"/>
  <c r="M41" i="11" s="1"/>
  <c r="K42" i="11"/>
  <c r="L42" i="11" s="1"/>
  <c r="M42" i="11" s="1"/>
  <c r="P196" i="11"/>
  <c r="Q196" i="11" s="1"/>
  <c r="P60" i="11"/>
  <c r="R187" i="11"/>
  <c r="S187" i="11" s="1"/>
  <c r="T187" i="11" s="1"/>
  <c r="O93" i="11"/>
  <c r="Q63" i="11"/>
  <c r="R63" i="11" s="1"/>
  <c r="S63" i="11" s="1"/>
  <c r="T63" i="11" s="1"/>
  <c r="K46" i="11"/>
  <c r="L45" i="11"/>
  <c r="M45" i="11" s="1"/>
  <c r="O85" i="11"/>
  <c r="L90" i="11"/>
  <c r="M90" i="11" s="1"/>
  <c r="K91" i="11"/>
  <c r="R59" i="11"/>
  <c r="S59" i="11" s="1"/>
  <c r="T59" i="11" s="1"/>
  <c r="O69" i="11"/>
  <c r="P188" i="11"/>
  <c r="Q188" i="11" s="1"/>
  <c r="O197" i="11"/>
  <c r="K67" i="11"/>
  <c r="L67" i="11" s="1"/>
  <c r="M67" i="11" s="1"/>
  <c r="L66" i="11"/>
  <c r="M66" i="11" s="1"/>
  <c r="P68" i="11"/>
  <c r="Q68" i="11" s="1"/>
  <c r="K95" i="11"/>
  <c r="L94" i="11"/>
  <c r="M94" i="11" s="1"/>
  <c r="O172" i="11"/>
  <c r="AH157" i="10"/>
  <c r="AI157" i="10" s="1"/>
  <c r="AL157" i="10" s="1"/>
  <c r="AA179" i="2"/>
  <c r="AD179" i="2"/>
  <c r="AG179" i="2" s="1"/>
  <c r="Y179" i="2"/>
  <c r="V179" i="2"/>
  <c r="W179" i="2"/>
  <c r="AC179" i="2"/>
  <c r="AF179" i="2" s="1"/>
  <c r="Z179" i="2"/>
  <c r="AB179" i="2"/>
  <c r="AE179" i="2" s="1"/>
  <c r="X179" i="2"/>
  <c r="AD153" i="2"/>
  <c r="AG153" i="2" s="1"/>
  <c r="AA153" i="2"/>
  <c r="W153" i="2"/>
  <c r="X153" i="2"/>
  <c r="AC153" i="2"/>
  <c r="AF153" i="2" s="1"/>
  <c r="AB153" i="2"/>
  <c r="AE153" i="2" s="1"/>
  <c r="V153" i="2"/>
  <c r="Y153" i="2"/>
  <c r="Z153" i="2"/>
  <c r="AL178" i="2"/>
  <c r="AJ178" i="2"/>
  <c r="AM178" i="2" s="1"/>
  <c r="AL183" i="2"/>
  <c r="AJ183" i="2"/>
  <c r="AM183" i="2" s="1"/>
  <c r="O151" i="2"/>
  <c r="AB184" i="2"/>
  <c r="AE184" i="2" s="1"/>
  <c r="X184" i="2"/>
  <c r="W184" i="2"/>
  <c r="AC184" i="2"/>
  <c r="AF184" i="2" s="1"/>
  <c r="V184" i="2"/>
  <c r="Y184" i="2"/>
  <c r="AD184" i="2"/>
  <c r="AG184" i="2" s="1"/>
  <c r="AA184" i="2"/>
  <c r="Z184" i="2"/>
  <c r="AJ152" i="2"/>
  <c r="AL152" i="2"/>
  <c r="O176" i="2"/>
  <c r="U176" i="2" s="1"/>
  <c r="AK176" i="2"/>
  <c r="AB188" i="2"/>
  <c r="AE188" i="2" s="1"/>
  <c r="AC188" i="2"/>
  <c r="AF188" i="2" s="1"/>
  <c r="Y188" i="2"/>
  <c r="Z188" i="2"/>
  <c r="AD188" i="2"/>
  <c r="AG188" i="2" s="1"/>
  <c r="W188" i="2"/>
  <c r="X188" i="2"/>
  <c r="AA188" i="2"/>
  <c r="V188" i="2"/>
  <c r="U161" i="10"/>
  <c r="U187" i="10"/>
  <c r="U58" i="10"/>
  <c r="U191" i="10"/>
  <c r="AA191" i="10" s="1"/>
  <c r="AD191" i="10" s="1"/>
  <c r="AG191" i="10" s="1"/>
  <c r="O172" i="10"/>
  <c r="P197" i="10"/>
  <c r="AJ157" i="10"/>
  <c r="AK157" i="10"/>
  <c r="P68" i="10"/>
  <c r="O168" i="10"/>
  <c r="P64" i="10"/>
  <c r="O89" i="10"/>
  <c r="O69" i="10"/>
  <c r="R196" i="10"/>
  <c r="S196" i="10" s="1"/>
  <c r="T196" i="10" s="1"/>
  <c r="P163" i="10"/>
  <c r="Q163" i="10" s="1"/>
  <c r="P60" i="10"/>
  <c r="O65" i="10"/>
  <c r="R59" i="10"/>
  <c r="S59" i="10" s="1"/>
  <c r="T59" i="10" s="1"/>
  <c r="K67" i="10"/>
  <c r="L67" i="10" s="1"/>
  <c r="M67" i="10" s="1"/>
  <c r="N67" i="10" s="1"/>
  <c r="O67" i="10" s="1"/>
  <c r="P67" i="10" s="1"/>
  <c r="L66" i="10"/>
  <c r="M66" i="10" s="1"/>
  <c r="N66" i="10" s="1"/>
  <c r="L173" i="10"/>
  <c r="M173" i="10" s="1"/>
  <c r="N173" i="10" s="1"/>
  <c r="K174" i="10"/>
  <c r="Q63" i="10"/>
  <c r="R63" i="10" s="1"/>
  <c r="S63" i="10" s="1"/>
  <c r="T63" i="10" s="1"/>
  <c r="K95" i="10"/>
  <c r="L94" i="10"/>
  <c r="M94" i="10" s="1"/>
  <c r="N94" i="10" s="1"/>
  <c r="K170" i="10"/>
  <c r="L170" i="10" s="1"/>
  <c r="M170" i="10" s="1"/>
  <c r="L169" i="10"/>
  <c r="M169" i="10" s="1"/>
  <c r="N169" i="10" s="1"/>
  <c r="K91" i="10"/>
  <c r="L90" i="10"/>
  <c r="M90" i="10" s="1"/>
  <c r="N90" i="10" s="1"/>
  <c r="K71" i="10"/>
  <c r="L70" i="10"/>
  <c r="M70" i="10" s="1"/>
  <c r="N70" i="10" s="1"/>
  <c r="L199" i="10"/>
  <c r="M199" i="10" s="1"/>
  <c r="N199" i="10" s="1"/>
  <c r="K200" i="10"/>
  <c r="L200" i="10" s="1"/>
  <c r="M200" i="10" s="1"/>
  <c r="N200" i="10" s="1"/>
  <c r="O200" i="10" s="1"/>
  <c r="P200" i="10" s="1"/>
  <c r="O93" i="10"/>
  <c r="K42" i="10"/>
  <c r="L42" i="10" s="1"/>
  <c r="M42" i="10" s="1"/>
  <c r="L41" i="10"/>
  <c r="M41" i="10" s="1"/>
  <c r="K46" i="10"/>
  <c r="L45" i="10"/>
  <c r="M45" i="10" s="1"/>
  <c r="L86" i="10"/>
  <c r="M86" i="10" s="1"/>
  <c r="N86" i="10" s="1"/>
  <c r="K87" i="10"/>
  <c r="P171" i="10"/>
  <c r="P167" i="10"/>
  <c r="Q167" i="10" s="1"/>
  <c r="O198" i="10"/>
  <c r="Q83" i="10"/>
  <c r="R83" i="10" s="1"/>
  <c r="S83" i="10" s="1"/>
  <c r="T83" i="10" s="1"/>
  <c r="P84" i="10"/>
  <c r="P88" i="10"/>
  <c r="Q88" i="10" s="1"/>
  <c r="R192" i="10"/>
  <c r="S192" i="10" s="1"/>
  <c r="T192" i="10" s="1"/>
  <c r="AL156" i="10"/>
  <c r="AJ156" i="10"/>
  <c r="AK156" i="10"/>
  <c r="R162" i="10"/>
  <c r="S162" i="10" s="1"/>
  <c r="T162" i="10" s="1"/>
  <c r="R166" i="10"/>
  <c r="S166" i="10" s="1"/>
  <c r="T166" i="10" s="1"/>
  <c r="P193" i="10"/>
  <c r="V186" i="10"/>
  <c r="P76" i="2"/>
  <c r="P86" i="2"/>
  <c r="P81" i="2"/>
  <c r="S154" i="2"/>
  <c r="T154" i="2" s="1"/>
  <c r="S189" i="2"/>
  <c r="T189" i="2" s="1"/>
  <c r="S75" i="2"/>
  <c r="T75" i="2" s="1"/>
  <c r="P80" i="2"/>
  <c r="S85" i="2"/>
  <c r="T85" i="2" s="1"/>
  <c r="F69" i="2"/>
  <c r="J69" i="2" s="1"/>
  <c r="F64" i="2"/>
  <c r="J64" i="2" s="1"/>
  <c r="F54" i="2"/>
  <c r="J54" i="2" s="1"/>
  <c r="F59" i="2"/>
  <c r="J59" i="2" s="1"/>
  <c r="H29" i="2"/>
  <c r="H30" i="2" s="1"/>
  <c r="H31" i="2" s="1"/>
  <c r="H32" i="2" s="1"/>
  <c r="I158" i="2"/>
  <c r="J157" i="2"/>
  <c r="P155" i="2"/>
  <c r="Q155" i="2"/>
  <c r="L176" i="2"/>
  <c r="M176" i="2" s="1"/>
  <c r="K177" i="2"/>
  <c r="R154" i="2"/>
  <c r="K153" i="2"/>
  <c r="L152" i="2"/>
  <c r="M152" i="2" s="1"/>
  <c r="P151" i="2"/>
  <c r="R126" i="2"/>
  <c r="S126" i="2" s="1"/>
  <c r="T126" i="2" s="1"/>
  <c r="R75" i="2"/>
  <c r="H72" i="2"/>
  <c r="Q80" i="2"/>
  <c r="Q76" i="2"/>
  <c r="Q81" i="2"/>
  <c r="H200" i="2"/>
  <c r="J200" i="2" s="1"/>
  <c r="N200" i="2" s="1"/>
  <c r="AK200" i="2" s="1"/>
  <c r="J199" i="2"/>
  <c r="O194" i="2"/>
  <c r="U194" i="2" s="1"/>
  <c r="O195" i="2"/>
  <c r="U195" i="2" s="1"/>
  <c r="R189" i="2"/>
  <c r="AM152" i="2"/>
  <c r="H175" i="2"/>
  <c r="H121" i="2"/>
  <c r="H117" i="2"/>
  <c r="J97" i="2"/>
  <c r="N97" i="2" s="1"/>
  <c r="AK97" i="2" s="1"/>
  <c r="J96" i="2"/>
  <c r="O91" i="2"/>
  <c r="U91" i="2" s="1"/>
  <c r="Q86" i="2"/>
  <c r="O92" i="2"/>
  <c r="U92" i="2" s="1"/>
  <c r="R85" i="2"/>
  <c r="J134" i="2"/>
  <c r="J132" i="2"/>
  <c r="N132" i="2" s="1"/>
  <c r="AK132" i="2" s="1"/>
  <c r="J129" i="2"/>
  <c r="J187" i="2"/>
  <c r="J182" i="2"/>
  <c r="N182" i="2" s="1"/>
  <c r="AK182" i="2" s="1"/>
  <c r="J137" i="2"/>
  <c r="J127" i="2"/>
  <c r="N127" i="2" s="1"/>
  <c r="AK127" i="2" s="1"/>
  <c r="A25" i="4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H49" i="2"/>
  <c r="F93" i="2" s="1"/>
  <c r="J93" i="2" s="1"/>
  <c r="AL7" i="2"/>
  <c r="AM7" i="2" s="1"/>
  <c r="AN7" i="2" s="1"/>
  <c r="F23" i="2"/>
  <c r="H13" i="2"/>
  <c r="H12" i="2"/>
  <c r="H10" i="2"/>
  <c r="H7" i="2"/>
  <c r="W74" i="10" l="1"/>
  <c r="W53" i="10"/>
  <c r="X53" i="10"/>
  <c r="AJ178" i="12"/>
  <c r="AM178" i="12" s="1"/>
  <c r="AO178" i="12" s="1"/>
  <c r="Y181" i="12"/>
  <c r="Z181" i="12" s="1"/>
  <c r="AC181" i="12" s="1"/>
  <c r="AF181" i="12" s="1"/>
  <c r="AB181" i="12"/>
  <c r="AE181" i="12" s="1"/>
  <c r="U185" i="11"/>
  <c r="V185" i="11" s="1"/>
  <c r="J79" i="11"/>
  <c r="N79" i="11" s="1"/>
  <c r="O79" i="11" s="1"/>
  <c r="W199" i="12"/>
  <c r="Y199" i="12" s="1"/>
  <c r="Z199" i="12" s="1"/>
  <c r="AC199" i="12" s="1"/>
  <c r="AF199" i="12" s="1"/>
  <c r="AA50" i="10"/>
  <c r="AD50" i="10" s="1"/>
  <c r="AG50" i="10" s="1"/>
  <c r="AL178" i="12"/>
  <c r="AH181" i="10"/>
  <c r="AI181" i="10" s="1"/>
  <c r="N70" i="11"/>
  <c r="X186" i="12"/>
  <c r="Z186" i="12" s="1"/>
  <c r="AC186" i="12" s="1"/>
  <c r="AF186" i="12" s="1"/>
  <c r="J108" i="11"/>
  <c r="Z184" i="12"/>
  <c r="AC184" i="12" s="1"/>
  <c r="AF184" i="12" s="1"/>
  <c r="Z151" i="12"/>
  <c r="AC151" i="12" s="1"/>
  <c r="AF151" i="12" s="1"/>
  <c r="AA78" i="10"/>
  <c r="AD78" i="10" s="1"/>
  <c r="AG78" i="10" s="1"/>
  <c r="X82" i="10"/>
  <c r="AA194" i="12"/>
  <c r="AD194" i="12" s="1"/>
  <c r="AG194" i="12" s="1"/>
  <c r="W50" i="10"/>
  <c r="X50" i="10"/>
  <c r="X189" i="12"/>
  <c r="AB171" i="12"/>
  <c r="AE171" i="12" s="1"/>
  <c r="P176" i="2"/>
  <c r="Z197" i="12"/>
  <c r="AC197" i="12" s="1"/>
  <c r="AF197" i="12" s="1"/>
  <c r="J95" i="11"/>
  <c r="AH180" i="10"/>
  <c r="AI180" i="10" s="1"/>
  <c r="AL180" i="10" s="1"/>
  <c r="W192" i="12"/>
  <c r="AH162" i="11"/>
  <c r="AI162" i="11" s="1"/>
  <c r="U183" i="11"/>
  <c r="V183" i="11" s="1"/>
  <c r="W183" i="11" s="1"/>
  <c r="X200" i="12"/>
  <c r="W200" i="12"/>
  <c r="Y195" i="12"/>
  <c r="AB195" i="12"/>
  <c r="AE195" i="12" s="1"/>
  <c r="AA78" i="11"/>
  <c r="AD78" i="11" s="1"/>
  <c r="AG78" i="11" s="1"/>
  <c r="W79" i="10"/>
  <c r="X79" i="10"/>
  <c r="AB82" i="10"/>
  <c r="AE82" i="10" s="1"/>
  <c r="AH82" i="10" s="1"/>
  <c r="AI82" i="10" s="1"/>
  <c r="Y82" i="10"/>
  <c r="Z82" i="10" s="1"/>
  <c r="AC82" i="10" s="1"/>
  <c r="AF82" i="10" s="1"/>
  <c r="W184" i="10"/>
  <c r="X184" i="10"/>
  <c r="Y189" i="12"/>
  <c r="Z189" i="12" s="1"/>
  <c r="AC189" i="12" s="1"/>
  <c r="AF189" i="12" s="1"/>
  <c r="AB189" i="12"/>
  <c r="AE189" i="12" s="1"/>
  <c r="U172" i="12"/>
  <c r="AA172" i="12" s="1"/>
  <c r="AD172" i="12" s="1"/>
  <c r="AG172" i="12" s="1"/>
  <c r="U54" i="11"/>
  <c r="AA54" i="11" s="1"/>
  <c r="AD54" i="11" s="1"/>
  <c r="AG54" i="11" s="1"/>
  <c r="AB81" i="10"/>
  <c r="AE81" i="10" s="1"/>
  <c r="Y81" i="10"/>
  <c r="U48" i="11"/>
  <c r="W78" i="10"/>
  <c r="X78" i="10"/>
  <c r="AB190" i="12"/>
  <c r="AE190" i="12" s="1"/>
  <c r="Y190" i="12"/>
  <c r="AH179" i="2"/>
  <c r="AI179" i="2" s="1"/>
  <c r="R83" i="11"/>
  <c r="S83" i="11" s="1"/>
  <c r="T83" i="11" s="1"/>
  <c r="W179" i="11"/>
  <c r="X179" i="11"/>
  <c r="R154" i="11"/>
  <c r="S154" i="11"/>
  <c r="T154" i="11" s="1"/>
  <c r="H105" i="10"/>
  <c r="J104" i="10"/>
  <c r="W166" i="12"/>
  <c r="R160" i="10"/>
  <c r="S160" i="10"/>
  <c r="T160" i="10" s="1"/>
  <c r="P79" i="11"/>
  <c r="AB197" i="12"/>
  <c r="AE197" i="12" s="1"/>
  <c r="AA195" i="12"/>
  <c r="AD195" i="12" s="1"/>
  <c r="AG195" i="12" s="1"/>
  <c r="AH181" i="12"/>
  <c r="AI181" i="12" s="1"/>
  <c r="X81" i="10"/>
  <c r="AB186" i="12"/>
  <c r="AE186" i="12" s="1"/>
  <c r="AA153" i="11"/>
  <c r="V153" i="11"/>
  <c r="X153" i="11"/>
  <c r="AB153" i="11"/>
  <c r="AE153" i="11" s="1"/>
  <c r="W153" i="11"/>
  <c r="AC153" i="11"/>
  <c r="AF153" i="11" s="1"/>
  <c r="AD153" i="11"/>
  <c r="AG153" i="11" s="1"/>
  <c r="Y153" i="11"/>
  <c r="Z153" i="11"/>
  <c r="AH178" i="10"/>
  <c r="AI178" i="10" s="1"/>
  <c r="Q51" i="10"/>
  <c r="R51" i="10" s="1"/>
  <c r="S51" i="10" s="1"/>
  <c r="T51" i="10" s="1"/>
  <c r="AH152" i="10"/>
  <c r="AI152" i="10" s="1"/>
  <c r="AB184" i="12"/>
  <c r="AE184" i="12" s="1"/>
  <c r="AH184" i="12" s="1"/>
  <c r="AI184" i="12" s="1"/>
  <c r="X49" i="10"/>
  <c r="W49" i="10"/>
  <c r="U182" i="11"/>
  <c r="V182" i="11" s="1"/>
  <c r="Y182" i="10"/>
  <c r="Z182" i="10" s="1"/>
  <c r="AC182" i="10" s="1"/>
  <c r="AF182" i="10" s="1"/>
  <c r="AB182" i="10"/>
  <c r="AE182" i="10" s="1"/>
  <c r="J90" i="11"/>
  <c r="P73" i="11"/>
  <c r="Q73" i="11" s="1"/>
  <c r="R73" i="11" s="1"/>
  <c r="S73" i="11" s="1"/>
  <c r="T73" i="11" s="1"/>
  <c r="AB151" i="12"/>
  <c r="AE151" i="12" s="1"/>
  <c r="AH151" i="12" s="1"/>
  <c r="AI151" i="12" s="1"/>
  <c r="O68" i="12"/>
  <c r="P58" i="12"/>
  <c r="Q58" i="12" s="1"/>
  <c r="R58" i="12" s="1"/>
  <c r="S58" i="12" s="1"/>
  <c r="T58" i="12" s="1"/>
  <c r="S157" i="12"/>
  <c r="T157" i="12" s="1"/>
  <c r="R157" i="12"/>
  <c r="AJ48" i="10"/>
  <c r="AL48" i="10"/>
  <c r="AK48" i="10"/>
  <c r="H108" i="12"/>
  <c r="H103" i="11"/>
  <c r="F135" i="11"/>
  <c r="H118" i="11"/>
  <c r="F145" i="11"/>
  <c r="F140" i="11"/>
  <c r="H113" i="11"/>
  <c r="F125" i="11"/>
  <c r="H109" i="11"/>
  <c r="H111" i="11" s="1"/>
  <c r="H112" i="11" s="1"/>
  <c r="F130" i="11"/>
  <c r="H98" i="11"/>
  <c r="J98" i="11" s="1"/>
  <c r="V162" i="12"/>
  <c r="Y162" i="12"/>
  <c r="AB162" i="12"/>
  <c r="AE162" i="12" s="1"/>
  <c r="AA162" i="12"/>
  <c r="W162" i="12"/>
  <c r="AD162" i="12"/>
  <c r="AG162" i="12" s="1"/>
  <c r="Z162" i="12"/>
  <c r="X162" i="12"/>
  <c r="AC162" i="12"/>
  <c r="AF162" i="12" s="1"/>
  <c r="S170" i="10"/>
  <c r="T170" i="10" s="1"/>
  <c r="R170" i="10"/>
  <c r="J94" i="11"/>
  <c r="R165" i="11"/>
  <c r="S165" i="11"/>
  <c r="T165" i="11" s="1"/>
  <c r="R154" i="10"/>
  <c r="S154" i="10"/>
  <c r="T154" i="10" s="1"/>
  <c r="J96" i="11"/>
  <c r="P153" i="12"/>
  <c r="U153" i="12"/>
  <c r="Q153" i="12"/>
  <c r="F118" i="12"/>
  <c r="F108" i="12"/>
  <c r="J108" i="12" s="1"/>
  <c r="N108" i="12" s="1"/>
  <c r="O108" i="12" s="1"/>
  <c r="F98" i="12"/>
  <c r="F103" i="12"/>
  <c r="H74" i="12"/>
  <c r="H75" i="12" s="1"/>
  <c r="F113" i="12"/>
  <c r="F104" i="12"/>
  <c r="F99" i="12"/>
  <c r="F109" i="12"/>
  <c r="F114" i="12"/>
  <c r="F119" i="12"/>
  <c r="H79" i="12"/>
  <c r="H80" i="12" s="1"/>
  <c r="H81" i="12" s="1"/>
  <c r="H82" i="12" s="1"/>
  <c r="J89" i="11"/>
  <c r="N89" i="11" s="1"/>
  <c r="O89" i="11" s="1"/>
  <c r="AC157" i="11"/>
  <c r="AF157" i="11" s="1"/>
  <c r="W157" i="11"/>
  <c r="AD157" i="11"/>
  <c r="AG157" i="11" s="1"/>
  <c r="Y157" i="11"/>
  <c r="AA157" i="11"/>
  <c r="V157" i="11"/>
  <c r="Z157" i="11"/>
  <c r="AB157" i="11"/>
  <c r="AE157" i="11" s="1"/>
  <c r="X157" i="11"/>
  <c r="W185" i="10"/>
  <c r="V179" i="12"/>
  <c r="AA82" i="10"/>
  <c r="AD82" i="10" s="1"/>
  <c r="AG82" i="10" s="1"/>
  <c r="V54" i="10"/>
  <c r="W194" i="12"/>
  <c r="AB176" i="11"/>
  <c r="AE176" i="11" s="1"/>
  <c r="AH176" i="11" s="1"/>
  <c r="AI176" i="11" s="1"/>
  <c r="Y176" i="11"/>
  <c r="Z176" i="11" s="1"/>
  <c r="AC176" i="11" s="1"/>
  <c r="AF176" i="11" s="1"/>
  <c r="X198" i="12"/>
  <c r="W198" i="12"/>
  <c r="AB80" i="10"/>
  <c r="AE80" i="10" s="1"/>
  <c r="Y80" i="10"/>
  <c r="Z80" i="10" s="1"/>
  <c r="AC80" i="10" s="1"/>
  <c r="AF80" i="10" s="1"/>
  <c r="V180" i="12"/>
  <c r="Y180" i="12"/>
  <c r="AD180" i="12"/>
  <c r="AG180" i="12" s="1"/>
  <c r="Z180" i="12"/>
  <c r="AA180" i="12"/>
  <c r="X180" i="12"/>
  <c r="AC180" i="12"/>
  <c r="AF180" i="12" s="1"/>
  <c r="W180" i="12"/>
  <c r="AB180" i="12"/>
  <c r="AE180" i="12" s="1"/>
  <c r="H100" i="10"/>
  <c r="J99" i="10"/>
  <c r="V196" i="12"/>
  <c r="AA57" i="10"/>
  <c r="AD57" i="10" s="1"/>
  <c r="AG57" i="10" s="1"/>
  <c r="X57" i="10"/>
  <c r="W57" i="10"/>
  <c r="AB57" i="10" s="1"/>
  <c r="AE57" i="10" s="1"/>
  <c r="AK170" i="12"/>
  <c r="O170" i="12"/>
  <c r="S155" i="11"/>
  <c r="T155" i="11" s="1"/>
  <c r="R155" i="11"/>
  <c r="Q184" i="11"/>
  <c r="R184" i="11" s="1"/>
  <c r="S184" i="11" s="1"/>
  <c r="T184" i="11" s="1"/>
  <c r="O50" i="11"/>
  <c r="Q76" i="10"/>
  <c r="R76" i="10" s="1"/>
  <c r="S76" i="10" s="1"/>
  <c r="T76" i="10" s="1"/>
  <c r="AA185" i="12"/>
  <c r="AD185" i="12" s="1"/>
  <c r="AG185" i="12" s="1"/>
  <c r="P48" i="12"/>
  <c r="Q48" i="12" s="1"/>
  <c r="R48" i="12" s="1"/>
  <c r="S48" i="12" s="1"/>
  <c r="T48" i="12" s="1"/>
  <c r="AK174" i="12"/>
  <c r="O174" i="12"/>
  <c r="X195" i="12"/>
  <c r="X188" i="12"/>
  <c r="W188" i="12"/>
  <c r="Q164" i="12"/>
  <c r="U164" i="12"/>
  <c r="P164" i="12"/>
  <c r="H111" i="10"/>
  <c r="J110" i="10"/>
  <c r="W53" i="11"/>
  <c r="H75" i="11"/>
  <c r="J74" i="11"/>
  <c r="N74" i="11" s="1"/>
  <c r="AJ178" i="11"/>
  <c r="AM178" i="11" s="1"/>
  <c r="AO178" i="11" s="1"/>
  <c r="AL178" i="11"/>
  <c r="AK178" i="11"/>
  <c r="O59" i="12"/>
  <c r="U173" i="12"/>
  <c r="Q173" i="12"/>
  <c r="P173" i="12"/>
  <c r="W181" i="11"/>
  <c r="X181" i="11"/>
  <c r="P158" i="12"/>
  <c r="Q158" i="12"/>
  <c r="U158" i="12"/>
  <c r="H115" i="10"/>
  <c r="J114" i="10"/>
  <c r="AD153" i="10"/>
  <c r="AG153" i="10" s="1"/>
  <c r="Y153" i="10"/>
  <c r="W153" i="10"/>
  <c r="Z153" i="10"/>
  <c r="AB153" i="10"/>
  <c r="AE153" i="10" s="1"/>
  <c r="V153" i="10"/>
  <c r="X153" i="10"/>
  <c r="AC153" i="10"/>
  <c r="AF153" i="10" s="1"/>
  <c r="AA153" i="10"/>
  <c r="P169" i="11"/>
  <c r="U169" i="11"/>
  <c r="Q169" i="11"/>
  <c r="F96" i="12"/>
  <c r="H65" i="12"/>
  <c r="F81" i="12"/>
  <c r="J81" i="12" s="1"/>
  <c r="N81" i="12" s="1"/>
  <c r="J64" i="12"/>
  <c r="N64" i="12" s="1"/>
  <c r="O159" i="12"/>
  <c r="AK159" i="12"/>
  <c r="AA196" i="12"/>
  <c r="AD196" i="12" s="1"/>
  <c r="AG196" i="12" s="1"/>
  <c r="F106" i="12"/>
  <c r="F111" i="12"/>
  <c r="J111" i="12" s="1"/>
  <c r="N111" i="12" s="1"/>
  <c r="O111" i="12" s="1"/>
  <c r="F116" i="12"/>
  <c r="H89" i="12"/>
  <c r="H90" i="12" s="1"/>
  <c r="H91" i="12" s="1"/>
  <c r="H92" i="12" s="1"/>
  <c r="F101" i="12"/>
  <c r="F121" i="12"/>
  <c r="J110" i="12"/>
  <c r="N110" i="12" s="1"/>
  <c r="O110" i="12" s="1"/>
  <c r="P110" i="12" s="1"/>
  <c r="Q110" i="12" s="1"/>
  <c r="R110" i="12" s="1"/>
  <c r="S110" i="12" s="1"/>
  <c r="T110" i="12" s="1"/>
  <c r="V78" i="11"/>
  <c r="W78" i="11" s="1"/>
  <c r="AB78" i="11" s="1"/>
  <c r="AE78" i="11" s="1"/>
  <c r="H143" i="10"/>
  <c r="H144" i="10" s="1"/>
  <c r="H145" i="10" s="1"/>
  <c r="H123" i="10"/>
  <c r="J123" i="10" s="1"/>
  <c r="H134" i="10"/>
  <c r="H135" i="10" s="1"/>
  <c r="H138" i="10"/>
  <c r="H139" i="10" s="1"/>
  <c r="H140" i="10" s="1"/>
  <c r="H128" i="10"/>
  <c r="H129" i="10" s="1"/>
  <c r="H130" i="10" s="1"/>
  <c r="AA185" i="10"/>
  <c r="AD185" i="10" s="1"/>
  <c r="AG185" i="10" s="1"/>
  <c r="Z161" i="12"/>
  <c r="AC161" i="12" s="1"/>
  <c r="AF161" i="12" s="1"/>
  <c r="AH161" i="12" s="1"/>
  <c r="AI161" i="12" s="1"/>
  <c r="V55" i="10"/>
  <c r="AA79" i="10"/>
  <c r="AD79" i="10" s="1"/>
  <c r="AG79" i="10" s="1"/>
  <c r="AA184" i="10"/>
  <c r="AD184" i="10" s="1"/>
  <c r="AG184" i="10" s="1"/>
  <c r="X190" i="12"/>
  <c r="F23" i="12"/>
  <c r="F23" i="11"/>
  <c r="F23" i="10"/>
  <c r="N94" i="11"/>
  <c r="N90" i="11"/>
  <c r="AB74" i="10"/>
  <c r="AE74" i="10" s="1"/>
  <c r="Y74" i="10"/>
  <c r="Z74" i="10" s="1"/>
  <c r="AC74" i="10" s="1"/>
  <c r="AF74" i="10" s="1"/>
  <c r="P165" i="12"/>
  <c r="Q165" i="12"/>
  <c r="U165" i="12"/>
  <c r="AH156" i="11"/>
  <c r="AI156" i="11" s="1"/>
  <c r="J134" i="10"/>
  <c r="O169" i="12"/>
  <c r="AK169" i="12"/>
  <c r="J112" i="11"/>
  <c r="AK177" i="10"/>
  <c r="AL177" i="10"/>
  <c r="AJ177" i="10"/>
  <c r="H52" i="11"/>
  <c r="J51" i="11"/>
  <c r="N51" i="11" s="1"/>
  <c r="O77" i="10"/>
  <c r="AK77" i="10"/>
  <c r="R158" i="11"/>
  <c r="S158" i="11"/>
  <c r="T158" i="11" s="1"/>
  <c r="O73" i="12"/>
  <c r="S155" i="10"/>
  <c r="T155" i="10" s="1"/>
  <c r="R155" i="10"/>
  <c r="AK175" i="12"/>
  <c r="O175" i="12"/>
  <c r="H67" i="11"/>
  <c r="J67" i="11" s="1"/>
  <c r="N67" i="11" s="1"/>
  <c r="O67" i="11" s="1"/>
  <c r="F91" i="11"/>
  <c r="J91" i="11" s="1"/>
  <c r="J66" i="11"/>
  <c r="N66" i="11" s="1"/>
  <c r="O66" i="11" s="1"/>
  <c r="R56" i="10"/>
  <c r="S56" i="10" s="1"/>
  <c r="T56" i="10" s="1"/>
  <c r="Q168" i="12"/>
  <c r="P168" i="12"/>
  <c r="U168" i="12"/>
  <c r="J103" i="11"/>
  <c r="J118" i="11"/>
  <c r="AH152" i="11"/>
  <c r="AI152" i="11" s="1"/>
  <c r="P170" i="11"/>
  <c r="Q170" i="11"/>
  <c r="U170" i="11"/>
  <c r="P49" i="11"/>
  <c r="Q49" i="11" s="1"/>
  <c r="R49" i="11" s="1"/>
  <c r="S49" i="11" s="1"/>
  <c r="T49" i="11" s="1"/>
  <c r="J60" i="12"/>
  <c r="N60" i="12" s="1"/>
  <c r="H61" i="12"/>
  <c r="F90" i="12"/>
  <c r="F85" i="12"/>
  <c r="J85" i="12" s="1"/>
  <c r="N85" i="12" s="1"/>
  <c r="F95" i="12"/>
  <c r="Q159" i="11"/>
  <c r="P159" i="11"/>
  <c r="U159" i="11"/>
  <c r="F82" i="12"/>
  <c r="H70" i="12"/>
  <c r="F92" i="12"/>
  <c r="J69" i="12"/>
  <c r="N69" i="12" s="1"/>
  <c r="W158" i="10"/>
  <c r="AC158" i="10"/>
  <c r="AF158" i="10" s="1"/>
  <c r="AD158" i="10"/>
  <c r="AG158" i="10" s="1"/>
  <c r="Y158" i="10"/>
  <c r="V158" i="10"/>
  <c r="X158" i="10"/>
  <c r="Z158" i="10"/>
  <c r="AB158" i="10"/>
  <c r="AE158" i="10" s="1"/>
  <c r="AA158" i="10"/>
  <c r="W191" i="12"/>
  <c r="X191" i="12"/>
  <c r="R167" i="12"/>
  <c r="S167" i="12"/>
  <c r="T167" i="12" s="1"/>
  <c r="R173" i="11"/>
  <c r="S173" i="11"/>
  <c r="T173" i="11" s="1"/>
  <c r="R159" i="10"/>
  <c r="S159" i="10"/>
  <c r="T159" i="10" s="1"/>
  <c r="AK154" i="12"/>
  <c r="O154" i="12"/>
  <c r="J109" i="11"/>
  <c r="R163" i="12"/>
  <c r="S163" i="12"/>
  <c r="T163" i="12" s="1"/>
  <c r="Q175" i="11"/>
  <c r="P175" i="11"/>
  <c r="U175" i="11"/>
  <c r="AC164" i="10"/>
  <c r="AF164" i="10" s="1"/>
  <c r="AA164" i="10"/>
  <c r="AD164" i="10"/>
  <c r="AG164" i="10" s="1"/>
  <c r="Y164" i="10"/>
  <c r="W164" i="10"/>
  <c r="Z164" i="10"/>
  <c r="AB164" i="10"/>
  <c r="AE164" i="10" s="1"/>
  <c r="V164" i="10"/>
  <c r="X164" i="10"/>
  <c r="AH180" i="11"/>
  <c r="AI180" i="11" s="1"/>
  <c r="H72" i="11"/>
  <c r="J72" i="11" s="1"/>
  <c r="F97" i="11"/>
  <c r="J97" i="11" s="1"/>
  <c r="J71" i="11"/>
  <c r="P53" i="12"/>
  <c r="Q53" i="12" s="1"/>
  <c r="R53" i="12" s="1"/>
  <c r="S53" i="12" s="1"/>
  <c r="T53" i="12" s="1"/>
  <c r="AB165" i="10"/>
  <c r="AE165" i="10" s="1"/>
  <c r="AD165" i="10"/>
  <c r="AG165" i="10" s="1"/>
  <c r="Y165" i="10"/>
  <c r="X165" i="10"/>
  <c r="Z165" i="10"/>
  <c r="AA165" i="10"/>
  <c r="V165" i="10"/>
  <c r="W165" i="10"/>
  <c r="AC165" i="10"/>
  <c r="AF165" i="10" s="1"/>
  <c r="W183" i="10"/>
  <c r="X183" i="10"/>
  <c r="AH176" i="10"/>
  <c r="AI176" i="10" s="1"/>
  <c r="R152" i="12"/>
  <c r="S152" i="12"/>
  <c r="T152" i="12" s="1"/>
  <c r="AK160" i="12"/>
  <c r="O160" i="12"/>
  <c r="H120" i="10"/>
  <c r="J119" i="10"/>
  <c r="AH151" i="10"/>
  <c r="AI151" i="10" s="1"/>
  <c r="H57" i="11"/>
  <c r="J57" i="11" s="1"/>
  <c r="N57" i="11" s="1"/>
  <c r="O57" i="11" s="1"/>
  <c r="J56" i="11"/>
  <c r="N56" i="11" s="1"/>
  <c r="O56" i="11" s="1"/>
  <c r="S168" i="11"/>
  <c r="T168" i="11" s="1"/>
  <c r="R168" i="11"/>
  <c r="AA55" i="10"/>
  <c r="AD55" i="10" s="1"/>
  <c r="AG55" i="10" s="1"/>
  <c r="Z182" i="12"/>
  <c r="AC182" i="12" s="1"/>
  <c r="AF182" i="12" s="1"/>
  <c r="AH182" i="12" s="1"/>
  <c r="AI182" i="12" s="1"/>
  <c r="AA190" i="12"/>
  <c r="AD190" i="12" s="1"/>
  <c r="AG190" i="12" s="1"/>
  <c r="J144" i="10"/>
  <c r="Q52" i="10"/>
  <c r="R52" i="10" s="1"/>
  <c r="S52" i="10" s="1"/>
  <c r="T52" i="10" s="1"/>
  <c r="AA200" i="12"/>
  <c r="AD200" i="12" s="1"/>
  <c r="AG200" i="12" s="1"/>
  <c r="AA183" i="12"/>
  <c r="AD183" i="12" s="1"/>
  <c r="AG183" i="12" s="1"/>
  <c r="H50" i="12"/>
  <c r="F78" i="12"/>
  <c r="J78" i="12" s="1"/>
  <c r="N78" i="12" s="1"/>
  <c r="F93" i="12"/>
  <c r="J93" i="12" s="1"/>
  <c r="N93" i="12" s="1"/>
  <c r="J49" i="12"/>
  <c r="N49" i="12" s="1"/>
  <c r="AJ180" i="10"/>
  <c r="AM180" i="10" s="1"/>
  <c r="AO180" i="10" s="1"/>
  <c r="U160" i="11"/>
  <c r="P160" i="11"/>
  <c r="Q160" i="11"/>
  <c r="AA81" i="10"/>
  <c r="AD81" i="10" s="1"/>
  <c r="AG81" i="10" s="1"/>
  <c r="J113" i="11"/>
  <c r="AD163" i="11"/>
  <c r="AG163" i="11" s="1"/>
  <c r="Y163" i="11"/>
  <c r="W163" i="11"/>
  <c r="Z163" i="11"/>
  <c r="AB163" i="11"/>
  <c r="AE163" i="11" s="1"/>
  <c r="V163" i="11"/>
  <c r="AA163" i="11"/>
  <c r="AC163" i="11"/>
  <c r="AF163" i="11" s="1"/>
  <c r="X163" i="11"/>
  <c r="AH171" i="12"/>
  <c r="AI171" i="12" s="1"/>
  <c r="Q75" i="10"/>
  <c r="R75" i="10" s="1"/>
  <c r="S75" i="10" s="1"/>
  <c r="T75" i="10" s="1"/>
  <c r="J80" i="12"/>
  <c r="N80" i="12" s="1"/>
  <c r="V185" i="12"/>
  <c r="AB177" i="11"/>
  <c r="AE177" i="11" s="1"/>
  <c r="Y177" i="11"/>
  <c r="Z177" i="11" s="1"/>
  <c r="AC177" i="11" s="1"/>
  <c r="AF177" i="11" s="1"/>
  <c r="X73" i="10"/>
  <c r="W73" i="10"/>
  <c r="AK155" i="12"/>
  <c r="O155" i="12"/>
  <c r="H81" i="11"/>
  <c r="J80" i="11"/>
  <c r="N80" i="11" s="1"/>
  <c r="O80" i="11" s="1"/>
  <c r="AL162" i="11"/>
  <c r="AJ162" i="11"/>
  <c r="AM162" i="11" s="1"/>
  <c r="AO162" i="11" s="1"/>
  <c r="U187" i="12"/>
  <c r="V187" i="12" s="1"/>
  <c r="W187" i="12" s="1"/>
  <c r="Z167" i="11"/>
  <c r="AB167" i="11"/>
  <c r="AE167" i="11" s="1"/>
  <c r="AD167" i="11"/>
  <c r="AG167" i="11" s="1"/>
  <c r="V167" i="11"/>
  <c r="X167" i="11"/>
  <c r="Y167" i="11"/>
  <c r="AC167" i="11"/>
  <c r="AF167" i="11" s="1"/>
  <c r="AA167" i="11"/>
  <c r="W167" i="11"/>
  <c r="O63" i="12"/>
  <c r="H55" i="12"/>
  <c r="F94" i="12"/>
  <c r="F79" i="12"/>
  <c r="J79" i="12" s="1"/>
  <c r="N79" i="12" s="1"/>
  <c r="J54" i="12"/>
  <c r="N54" i="12" s="1"/>
  <c r="U156" i="12"/>
  <c r="AA156" i="12" s="1"/>
  <c r="AD156" i="12" s="1"/>
  <c r="AG156" i="12" s="1"/>
  <c r="H94" i="12"/>
  <c r="H95" i="12" s="1"/>
  <c r="H96" i="12" s="1"/>
  <c r="H97" i="12" s="1"/>
  <c r="F112" i="12"/>
  <c r="J112" i="12" s="1"/>
  <c r="N112" i="12" s="1"/>
  <c r="O112" i="12" s="1"/>
  <c r="F102" i="12"/>
  <c r="F122" i="12"/>
  <c r="F107" i="12"/>
  <c r="F117" i="12"/>
  <c r="Q174" i="11"/>
  <c r="P174" i="11"/>
  <c r="U174" i="11"/>
  <c r="P55" i="11"/>
  <c r="Q55" i="11" s="1"/>
  <c r="R55" i="11" s="1"/>
  <c r="S55" i="11" s="1"/>
  <c r="T55" i="11" s="1"/>
  <c r="V183" i="12"/>
  <c r="S164" i="11"/>
  <c r="T164" i="11" s="1"/>
  <c r="R164" i="11"/>
  <c r="Y193" i="12"/>
  <c r="Z193" i="12" s="1"/>
  <c r="AC193" i="12" s="1"/>
  <c r="AF193" i="12" s="1"/>
  <c r="AB193" i="12"/>
  <c r="AE193" i="12" s="1"/>
  <c r="V176" i="12"/>
  <c r="AA176" i="12"/>
  <c r="AD176" i="12" s="1"/>
  <c r="AG176" i="12" s="1"/>
  <c r="V177" i="12"/>
  <c r="AA188" i="10"/>
  <c r="AD188" i="10" s="1"/>
  <c r="AG188" i="10" s="1"/>
  <c r="V190" i="10"/>
  <c r="X190" i="10" s="1"/>
  <c r="V189" i="10"/>
  <c r="U85" i="10"/>
  <c r="V85" i="10" s="1"/>
  <c r="U61" i="10"/>
  <c r="AA61" i="10" s="1"/>
  <c r="AD61" i="10" s="1"/>
  <c r="AG61" i="10" s="1"/>
  <c r="Q200" i="10"/>
  <c r="R200" i="10" s="1"/>
  <c r="S200" i="10" s="1"/>
  <c r="T200" i="10" s="1"/>
  <c r="Q194" i="10"/>
  <c r="R194" i="10" s="1"/>
  <c r="S194" i="10" s="1"/>
  <c r="T194" i="10" s="1"/>
  <c r="U62" i="10"/>
  <c r="V62" i="10" s="1"/>
  <c r="Q67" i="10"/>
  <c r="R67" i="10" s="1"/>
  <c r="S67" i="10" s="1"/>
  <c r="T67" i="10" s="1"/>
  <c r="P195" i="10"/>
  <c r="Q195" i="10" s="1"/>
  <c r="W188" i="10"/>
  <c r="O86" i="10"/>
  <c r="P86" i="10" s="1"/>
  <c r="K122" i="12"/>
  <c r="L122" i="12" s="1"/>
  <c r="M122" i="12" s="1"/>
  <c r="L121" i="12"/>
  <c r="M121" i="12" s="1"/>
  <c r="L123" i="12"/>
  <c r="M123" i="12" s="1"/>
  <c r="K124" i="12"/>
  <c r="P111" i="12"/>
  <c r="Q111" i="12" s="1"/>
  <c r="AA58" i="11"/>
  <c r="AD58" i="11" s="1"/>
  <c r="AG58" i="11" s="1"/>
  <c r="W58" i="11"/>
  <c r="AB58" i="11" s="1"/>
  <c r="AE58" i="11" s="1"/>
  <c r="X58" i="11"/>
  <c r="U59" i="11"/>
  <c r="V59" i="11" s="1"/>
  <c r="U63" i="11"/>
  <c r="U83" i="11"/>
  <c r="AA83" i="11" s="1"/>
  <c r="AD83" i="11" s="1"/>
  <c r="AG83" i="11" s="1"/>
  <c r="U191" i="11"/>
  <c r="AA191" i="11" s="1"/>
  <c r="AD191" i="11" s="1"/>
  <c r="AG191" i="11" s="1"/>
  <c r="U187" i="11"/>
  <c r="V187" i="11" s="1"/>
  <c r="X187" i="11" s="1"/>
  <c r="U166" i="11"/>
  <c r="V166" i="11" s="1"/>
  <c r="X161" i="11"/>
  <c r="W161" i="11"/>
  <c r="P197" i="11"/>
  <c r="Q197" i="11" s="1"/>
  <c r="K98" i="11"/>
  <c r="L87" i="11"/>
  <c r="M87" i="11" s="1"/>
  <c r="N87" i="11" s="1"/>
  <c r="P190" i="11"/>
  <c r="Q190" i="11" s="1"/>
  <c r="O195" i="11"/>
  <c r="O198" i="11"/>
  <c r="O70" i="11"/>
  <c r="P89" i="11"/>
  <c r="Q89" i="11" s="1"/>
  <c r="AA161" i="11"/>
  <c r="AD161" i="11" s="1"/>
  <c r="AG161" i="11" s="1"/>
  <c r="O94" i="11"/>
  <c r="K92" i="11"/>
  <c r="L92" i="11" s="1"/>
  <c r="M92" i="11" s="1"/>
  <c r="N92" i="11" s="1"/>
  <c r="L91" i="11"/>
  <c r="M91" i="11" s="1"/>
  <c r="N91" i="11" s="1"/>
  <c r="K47" i="11"/>
  <c r="L47" i="11" s="1"/>
  <c r="M47" i="11" s="1"/>
  <c r="L46" i="11"/>
  <c r="M46" i="11" s="1"/>
  <c r="P65" i="11"/>
  <c r="Q65" i="11" s="1"/>
  <c r="Q60" i="11"/>
  <c r="R60" i="11" s="1"/>
  <c r="S60" i="11" s="1"/>
  <c r="T60" i="11" s="1"/>
  <c r="Q192" i="11"/>
  <c r="R192" i="11" s="1"/>
  <c r="S192" i="11" s="1"/>
  <c r="T192" i="11" s="1"/>
  <c r="K175" i="11"/>
  <c r="L175" i="11" s="1"/>
  <c r="M175" i="11" s="1"/>
  <c r="L174" i="11"/>
  <c r="M174" i="11" s="1"/>
  <c r="Q64" i="11"/>
  <c r="R64" i="11" s="1"/>
  <c r="S64" i="11" s="1"/>
  <c r="T64" i="11" s="1"/>
  <c r="L199" i="11"/>
  <c r="M199" i="11" s="1"/>
  <c r="N199" i="11" s="1"/>
  <c r="K200" i="11"/>
  <c r="L200" i="11" s="1"/>
  <c r="M200" i="11" s="1"/>
  <c r="N200" i="11" s="1"/>
  <c r="P62" i="11"/>
  <c r="L95" i="11"/>
  <c r="M95" i="11" s="1"/>
  <c r="N95" i="11" s="1"/>
  <c r="K96" i="11"/>
  <c r="R188" i="11"/>
  <c r="S188" i="11" s="1"/>
  <c r="T188" i="11" s="1"/>
  <c r="P69" i="11"/>
  <c r="O90" i="11"/>
  <c r="P85" i="11"/>
  <c r="P93" i="11"/>
  <c r="Q93" i="11" s="1"/>
  <c r="Q171" i="11"/>
  <c r="R171" i="11" s="1"/>
  <c r="S171" i="11" s="1"/>
  <c r="T171" i="11" s="1"/>
  <c r="P61" i="11"/>
  <c r="Q61" i="11" s="1"/>
  <c r="P193" i="11"/>
  <c r="Q193" i="11" s="1"/>
  <c r="P172" i="11"/>
  <c r="R68" i="11"/>
  <c r="S68" i="11" s="1"/>
  <c r="T68" i="11" s="1"/>
  <c r="R196" i="11"/>
  <c r="S196" i="11" s="1"/>
  <c r="T196" i="11" s="1"/>
  <c r="O86" i="11"/>
  <c r="O194" i="11"/>
  <c r="P189" i="11"/>
  <c r="R84" i="11"/>
  <c r="S84" i="11" s="1"/>
  <c r="T84" i="11" s="1"/>
  <c r="K72" i="11"/>
  <c r="L72" i="11" s="1"/>
  <c r="M72" i="11" s="1"/>
  <c r="N72" i="11" s="1"/>
  <c r="L71" i="11"/>
  <c r="M71" i="11" s="1"/>
  <c r="N71" i="11" s="1"/>
  <c r="V186" i="11"/>
  <c r="AA186" i="11"/>
  <c r="AD186" i="11" s="1"/>
  <c r="AG186" i="11" s="1"/>
  <c r="AA154" i="2"/>
  <c r="AB154" i="2"/>
  <c r="AE154" i="2" s="1"/>
  <c r="Z154" i="2"/>
  <c r="W154" i="2"/>
  <c r="V154" i="2"/>
  <c r="Y154" i="2"/>
  <c r="X154" i="2"/>
  <c r="AD154" i="2"/>
  <c r="AG154" i="2" s="1"/>
  <c r="AC154" i="2"/>
  <c r="AF154" i="2" s="1"/>
  <c r="AC75" i="2"/>
  <c r="AF75" i="2" s="1"/>
  <c r="W75" i="2"/>
  <c r="AA75" i="2"/>
  <c r="V75" i="2"/>
  <c r="AD75" i="2"/>
  <c r="AG75" i="2" s="1"/>
  <c r="Z75" i="2"/>
  <c r="AB75" i="2"/>
  <c r="AE75" i="2" s="1"/>
  <c r="X75" i="2"/>
  <c r="Y75" i="2"/>
  <c r="AH184" i="2"/>
  <c r="AI184" i="2" s="1"/>
  <c r="AH153" i="2"/>
  <c r="AI153" i="2" s="1"/>
  <c r="AB126" i="2"/>
  <c r="AE126" i="2" s="1"/>
  <c r="AA126" i="2"/>
  <c r="W126" i="2"/>
  <c r="AC126" i="2"/>
  <c r="AF126" i="2" s="1"/>
  <c r="Y126" i="2"/>
  <c r="V126" i="2"/>
  <c r="Z126" i="2"/>
  <c r="AD126" i="2"/>
  <c r="AG126" i="2" s="1"/>
  <c r="X126" i="2"/>
  <c r="AB85" i="2"/>
  <c r="AE85" i="2" s="1"/>
  <c r="AC85" i="2"/>
  <c r="AF85" i="2" s="1"/>
  <c r="AA85" i="2"/>
  <c r="Y85" i="2"/>
  <c r="W85" i="2"/>
  <c r="Z85" i="2"/>
  <c r="AD85" i="2"/>
  <c r="AG85" i="2" s="1"/>
  <c r="X85" i="2"/>
  <c r="V85" i="2"/>
  <c r="AH188" i="2"/>
  <c r="AI188" i="2" s="1"/>
  <c r="AL179" i="2"/>
  <c r="AJ179" i="2"/>
  <c r="AB189" i="2"/>
  <c r="AE189" i="2" s="1"/>
  <c r="X189" i="2"/>
  <c r="AD189" i="2"/>
  <c r="AG189" i="2" s="1"/>
  <c r="Y189" i="2"/>
  <c r="Z189" i="2"/>
  <c r="AA189" i="2"/>
  <c r="V189" i="2"/>
  <c r="W189" i="2"/>
  <c r="AC189" i="2"/>
  <c r="AF189" i="2" s="1"/>
  <c r="U83" i="10"/>
  <c r="U196" i="10"/>
  <c r="U59" i="10"/>
  <c r="AA59" i="10" s="1"/>
  <c r="AD59" i="10" s="1"/>
  <c r="AG59" i="10" s="1"/>
  <c r="U166" i="10"/>
  <c r="AA166" i="10" s="1"/>
  <c r="AD166" i="10" s="1"/>
  <c r="AG166" i="10" s="1"/>
  <c r="U63" i="10"/>
  <c r="AM156" i="10"/>
  <c r="AO156" i="10" s="1"/>
  <c r="K47" i="10"/>
  <c r="L47" i="10" s="1"/>
  <c r="M47" i="10" s="1"/>
  <c r="L46" i="10"/>
  <c r="M46" i="10" s="1"/>
  <c r="O199" i="10"/>
  <c r="L91" i="10"/>
  <c r="M91" i="10" s="1"/>
  <c r="N91" i="10" s="1"/>
  <c r="K92" i="10"/>
  <c r="L92" i="10" s="1"/>
  <c r="M92" i="10" s="1"/>
  <c r="N92" i="10" s="1"/>
  <c r="K96" i="10"/>
  <c r="L95" i="10"/>
  <c r="M95" i="10" s="1"/>
  <c r="N95" i="10" s="1"/>
  <c r="O66" i="10"/>
  <c r="P65" i="10"/>
  <c r="P89" i="10"/>
  <c r="Q89" i="10" s="1"/>
  <c r="P172" i="10"/>
  <c r="X186" i="10"/>
  <c r="W186" i="10"/>
  <c r="R88" i="10"/>
  <c r="S88" i="10" s="1"/>
  <c r="T88" i="10" s="1"/>
  <c r="Q84" i="10"/>
  <c r="R84" i="10" s="1"/>
  <c r="S84" i="10" s="1"/>
  <c r="T84" i="10" s="1"/>
  <c r="K98" i="10"/>
  <c r="L87" i="10"/>
  <c r="M87" i="10" s="1"/>
  <c r="N87" i="10" s="1"/>
  <c r="O70" i="10"/>
  <c r="Q68" i="10"/>
  <c r="R68" i="10" s="1"/>
  <c r="S68" i="10" s="1"/>
  <c r="T68" i="10" s="1"/>
  <c r="AM157" i="10"/>
  <c r="AO157" i="10" s="1"/>
  <c r="AA161" i="10"/>
  <c r="AD161" i="10" s="1"/>
  <c r="AG161" i="10" s="1"/>
  <c r="AA162" i="10"/>
  <c r="AD162" i="10" s="1"/>
  <c r="AG162" i="10" s="1"/>
  <c r="U162" i="10"/>
  <c r="P198" i="10"/>
  <c r="Q198" i="10" s="1"/>
  <c r="L71" i="10"/>
  <c r="M71" i="10" s="1"/>
  <c r="N71" i="10" s="1"/>
  <c r="K72" i="10"/>
  <c r="L72" i="10" s="1"/>
  <c r="M72" i="10" s="1"/>
  <c r="N72" i="10" s="1"/>
  <c r="O169" i="10"/>
  <c r="K175" i="10"/>
  <c r="L175" i="10" s="1"/>
  <c r="M175" i="10" s="1"/>
  <c r="N175" i="10" s="1"/>
  <c r="L174" i="10"/>
  <c r="M174" i="10" s="1"/>
  <c r="N174" i="10" s="1"/>
  <c r="P69" i="10"/>
  <c r="Q69" i="10" s="1"/>
  <c r="P168" i="10"/>
  <c r="V191" i="10"/>
  <c r="Q193" i="10"/>
  <c r="R193" i="10" s="1"/>
  <c r="S193" i="10" s="1"/>
  <c r="T193" i="10" s="1"/>
  <c r="U192" i="10"/>
  <c r="V192" i="10" s="1"/>
  <c r="R167" i="10"/>
  <c r="S167" i="10" s="1"/>
  <c r="T167" i="10" s="1"/>
  <c r="Q171" i="10"/>
  <c r="R171" i="10" s="1"/>
  <c r="S171" i="10" s="1"/>
  <c r="T171" i="10" s="1"/>
  <c r="P93" i="10"/>
  <c r="Q93" i="10" s="1"/>
  <c r="O90" i="10"/>
  <c r="O94" i="10"/>
  <c r="O173" i="10"/>
  <c r="Q60" i="10"/>
  <c r="R60" i="10" s="1"/>
  <c r="S60" i="10" s="1"/>
  <c r="T60" i="10" s="1"/>
  <c r="R163" i="10"/>
  <c r="S163" i="10" s="1"/>
  <c r="T163" i="10" s="1"/>
  <c r="Q64" i="10"/>
  <c r="R64" i="10" s="1"/>
  <c r="S64" i="10" s="1"/>
  <c r="T64" i="10" s="1"/>
  <c r="Q197" i="10"/>
  <c r="R197" i="10" s="1"/>
  <c r="S197" i="10" s="1"/>
  <c r="T197" i="10" s="1"/>
  <c r="V58" i="10"/>
  <c r="AA58" i="10"/>
  <c r="AD58" i="10" s="1"/>
  <c r="AG58" i="10" s="1"/>
  <c r="V187" i="10"/>
  <c r="AA187" i="10"/>
  <c r="AD187" i="10" s="1"/>
  <c r="AG187" i="10" s="1"/>
  <c r="V161" i="10"/>
  <c r="A57" i="4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P92" i="2"/>
  <c r="P195" i="2"/>
  <c r="S80" i="2"/>
  <c r="T80" i="2" s="1"/>
  <c r="S86" i="2"/>
  <c r="T86" i="2" s="1"/>
  <c r="P91" i="2"/>
  <c r="P194" i="2"/>
  <c r="S155" i="2"/>
  <c r="T155" i="2" s="1"/>
  <c r="S176" i="2"/>
  <c r="T176" i="2" s="1"/>
  <c r="S81" i="2"/>
  <c r="T81" i="2" s="1"/>
  <c r="S76" i="2"/>
  <c r="T76" i="2" s="1"/>
  <c r="R155" i="2"/>
  <c r="K154" i="2"/>
  <c r="L153" i="2"/>
  <c r="M153" i="2" s="1"/>
  <c r="K178" i="2"/>
  <c r="L177" i="2"/>
  <c r="M177" i="2" s="1"/>
  <c r="Q151" i="2"/>
  <c r="R151" i="2" s="1"/>
  <c r="S151" i="2" s="1"/>
  <c r="T151" i="2" s="1"/>
  <c r="U151" i="2" s="1"/>
  <c r="I159" i="2"/>
  <c r="J158" i="2"/>
  <c r="N158" i="2" s="1"/>
  <c r="H50" i="2"/>
  <c r="F83" i="2" s="1"/>
  <c r="J83" i="2" s="1"/>
  <c r="F78" i="2"/>
  <c r="R80" i="2"/>
  <c r="R81" i="2"/>
  <c r="R76" i="2"/>
  <c r="Q195" i="2"/>
  <c r="Q194" i="2"/>
  <c r="O200" i="2"/>
  <c r="U200" i="2" s="1"/>
  <c r="O182" i="2"/>
  <c r="U182" i="2" s="1"/>
  <c r="J177" i="2"/>
  <c r="N177" i="2" s="1"/>
  <c r="Q176" i="2"/>
  <c r="R176" i="2" s="1"/>
  <c r="O127" i="2"/>
  <c r="U127" i="2" s="1"/>
  <c r="O132" i="2"/>
  <c r="U132" i="2" s="1"/>
  <c r="H122" i="2"/>
  <c r="Q92" i="2"/>
  <c r="R86" i="2"/>
  <c r="O97" i="2"/>
  <c r="U97" i="2" s="1"/>
  <c r="Q91" i="2"/>
  <c r="K48" i="2"/>
  <c r="L23" i="2"/>
  <c r="J185" i="2"/>
  <c r="N185" i="2" s="1"/>
  <c r="AK185" i="2" s="1"/>
  <c r="J180" i="2"/>
  <c r="N180" i="2" s="1"/>
  <c r="AK180" i="2" s="1"/>
  <c r="J23" i="2"/>
  <c r="H8" i="2"/>
  <c r="H6" i="2"/>
  <c r="H5" i="2"/>
  <c r="AJ82" i="10" l="1"/>
  <c r="AM82" i="10" s="1"/>
  <c r="AO82" i="10" s="1"/>
  <c r="AL82" i="10"/>
  <c r="AH158" i="10"/>
  <c r="AI158" i="10" s="1"/>
  <c r="AH197" i="12"/>
  <c r="AI197" i="12" s="1"/>
  <c r="AK197" i="12" s="1"/>
  <c r="AB199" i="12"/>
  <c r="AE199" i="12" s="1"/>
  <c r="AH199" i="12" s="1"/>
  <c r="AI199" i="12" s="1"/>
  <c r="Y53" i="10"/>
  <c r="Z53" i="10" s="1"/>
  <c r="AC53" i="10" s="1"/>
  <c r="AF53" i="10" s="1"/>
  <c r="AB53" i="10"/>
  <c r="AE53" i="10" s="1"/>
  <c r="X185" i="11"/>
  <c r="W185" i="11"/>
  <c r="AH186" i="12"/>
  <c r="AI186" i="12" s="1"/>
  <c r="AA185" i="11"/>
  <c r="AD185" i="11" s="1"/>
  <c r="AG185" i="11" s="1"/>
  <c r="AJ181" i="10"/>
  <c r="AL181" i="10"/>
  <c r="AK181" i="10"/>
  <c r="J111" i="11"/>
  <c r="AH153" i="10"/>
  <c r="AI153" i="10" s="1"/>
  <c r="AJ153" i="10" s="1"/>
  <c r="AM153" i="10" s="1"/>
  <c r="AO153" i="10" s="1"/>
  <c r="AH182" i="10"/>
  <c r="AI182" i="10" s="1"/>
  <c r="Y78" i="11"/>
  <c r="Y57" i="10"/>
  <c r="Z57" i="10" s="1"/>
  <c r="AC57" i="10" s="1"/>
  <c r="AF57" i="10" s="1"/>
  <c r="AB192" i="12"/>
  <c r="AE192" i="12" s="1"/>
  <c r="Y192" i="12"/>
  <c r="Z192" i="12" s="1"/>
  <c r="AC192" i="12" s="1"/>
  <c r="AF192" i="12" s="1"/>
  <c r="AH192" i="12" s="1"/>
  <c r="AI192" i="12" s="1"/>
  <c r="W190" i="10"/>
  <c r="Y190" i="10" s="1"/>
  <c r="Z190" i="10" s="1"/>
  <c r="AC190" i="10" s="1"/>
  <c r="AF190" i="10" s="1"/>
  <c r="AH57" i="10"/>
  <c r="AI57" i="10" s="1"/>
  <c r="AK57" i="10" s="1"/>
  <c r="AB50" i="10"/>
  <c r="AE50" i="10" s="1"/>
  <c r="Y50" i="10"/>
  <c r="Z50" i="10" s="1"/>
  <c r="AC50" i="10" s="1"/>
  <c r="AF50" i="10" s="1"/>
  <c r="AB187" i="12"/>
  <c r="AE187" i="12" s="1"/>
  <c r="Y187" i="12"/>
  <c r="U53" i="12"/>
  <c r="V53" i="12" s="1"/>
  <c r="W53" i="12" s="1"/>
  <c r="U58" i="12"/>
  <c r="V58" i="12" s="1"/>
  <c r="W58" i="12" s="1"/>
  <c r="U51" i="10"/>
  <c r="AA51" i="10" s="1"/>
  <c r="AD51" i="10" s="1"/>
  <c r="AG51" i="10" s="1"/>
  <c r="U48" i="12"/>
  <c r="V48" i="12" s="1"/>
  <c r="W48" i="12" s="1"/>
  <c r="U184" i="11"/>
  <c r="AA184" i="11" s="1"/>
  <c r="AD184" i="11" s="1"/>
  <c r="AG184" i="11" s="1"/>
  <c r="U55" i="11"/>
  <c r="AA55" i="11" s="1"/>
  <c r="AD55" i="11" s="1"/>
  <c r="AG55" i="11" s="1"/>
  <c r="AL182" i="12"/>
  <c r="AJ182" i="12"/>
  <c r="AK182" i="12"/>
  <c r="AL192" i="12"/>
  <c r="AJ192" i="12"/>
  <c r="AK192" i="12"/>
  <c r="U49" i="11"/>
  <c r="AA49" i="11" s="1"/>
  <c r="AD49" i="11" s="1"/>
  <c r="AG49" i="11" s="1"/>
  <c r="AJ161" i="12"/>
  <c r="AL161" i="12"/>
  <c r="AK161" i="12"/>
  <c r="U76" i="10"/>
  <c r="AA76" i="10" s="1"/>
  <c r="AD76" i="10" s="1"/>
  <c r="AG76" i="10" s="1"/>
  <c r="U73" i="11"/>
  <c r="V73" i="11" s="1"/>
  <c r="W182" i="11"/>
  <c r="X182" i="11"/>
  <c r="AL186" i="12"/>
  <c r="AJ186" i="12"/>
  <c r="AK186" i="12"/>
  <c r="AB183" i="11"/>
  <c r="AE183" i="11" s="1"/>
  <c r="Y183" i="11"/>
  <c r="AB190" i="10"/>
  <c r="AE190" i="10" s="1"/>
  <c r="AH190" i="10" s="1"/>
  <c r="AI190" i="10" s="1"/>
  <c r="AK190" i="10" s="1"/>
  <c r="AK82" i="10"/>
  <c r="AH193" i="12"/>
  <c r="AI193" i="12" s="1"/>
  <c r="W183" i="12"/>
  <c r="X183" i="12"/>
  <c r="O79" i="12"/>
  <c r="P63" i="12"/>
  <c r="AH167" i="11"/>
  <c r="AI167" i="11" s="1"/>
  <c r="Q155" i="12"/>
  <c r="P155" i="12"/>
  <c r="U155" i="12"/>
  <c r="AH177" i="11"/>
  <c r="AI177" i="11" s="1"/>
  <c r="AH163" i="11"/>
  <c r="AI163" i="11" s="1"/>
  <c r="S160" i="11"/>
  <c r="T160" i="11" s="1"/>
  <c r="R160" i="11"/>
  <c r="O49" i="12"/>
  <c r="W168" i="11"/>
  <c r="AC168" i="11"/>
  <c r="AF168" i="11" s="1"/>
  <c r="AB168" i="11"/>
  <c r="AE168" i="11" s="1"/>
  <c r="AD168" i="11"/>
  <c r="AG168" i="11" s="1"/>
  <c r="Y168" i="11"/>
  <c r="AA168" i="11"/>
  <c r="V168" i="11"/>
  <c r="X168" i="11"/>
  <c r="Z168" i="11"/>
  <c r="H121" i="10"/>
  <c r="J120" i="10"/>
  <c r="AH165" i="10"/>
  <c r="AI165" i="10" s="1"/>
  <c r="AB163" i="12"/>
  <c r="AE163" i="12" s="1"/>
  <c r="W163" i="12"/>
  <c r="V163" i="12"/>
  <c r="Z163" i="12"/>
  <c r="AA163" i="12"/>
  <c r="AD163" i="12"/>
  <c r="AG163" i="12" s="1"/>
  <c r="X163" i="12"/>
  <c r="Y163" i="12"/>
  <c r="AC163" i="12"/>
  <c r="AF163" i="12" s="1"/>
  <c r="AB173" i="11"/>
  <c r="AE173" i="11" s="1"/>
  <c r="V173" i="11"/>
  <c r="Y173" i="11"/>
  <c r="X173" i="11"/>
  <c r="AD173" i="11"/>
  <c r="AG173" i="11" s="1"/>
  <c r="W173" i="11"/>
  <c r="AC173" i="11"/>
  <c r="AF173" i="11" s="1"/>
  <c r="AA173" i="11"/>
  <c r="Z173" i="11"/>
  <c r="J92" i="12"/>
  <c r="N92" i="12" s="1"/>
  <c r="S159" i="11"/>
  <c r="T159" i="11" s="1"/>
  <c r="R159" i="11"/>
  <c r="J90" i="12"/>
  <c r="N90" i="12" s="1"/>
  <c r="R170" i="11"/>
  <c r="S170" i="11"/>
  <c r="T170" i="11" s="1"/>
  <c r="P73" i="12"/>
  <c r="Q73" i="12" s="1"/>
  <c r="R73" i="12" s="1"/>
  <c r="S73" i="12" s="1"/>
  <c r="T73" i="12" s="1"/>
  <c r="U73" i="12" s="1"/>
  <c r="P77" i="10"/>
  <c r="U77" i="10"/>
  <c r="Q77" i="10"/>
  <c r="AK156" i="11"/>
  <c r="AL156" i="11"/>
  <c r="AJ156" i="11"/>
  <c r="AM156" i="11" s="1"/>
  <c r="AO156" i="11" s="1"/>
  <c r="AH74" i="10"/>
  <c r="AI74" i="10" s="1"/>
  <c r="F28" i="10"/>
  <c r="F24" i="10"/>
  <c r="J23" i="10"/>
  <c r="N23" i="10" s="1"/>
  <c r="H124" i="10"/>
  <c r="H133" i="11"/>
  <c r="F86" i="12"/>
  <c r="J86" i="12" s="1"/>
  <c r="N86" i="12" s="1"/>
  <c r="H66" i="12"/>
  <c r="J65" i="12"/>
  <c r="N65" i="12" s="1"/>
  <c r="R169" i="11"/>
  <c r="S169" i="11"/>
  <c r="T169" i="11" s="1"/>
  <c r="S173" i="12"/>
  <c r="T173" i="12" s="1"/>
  <c r="R173" i="12"/>
  <c r="P59" i="12"/>
  <c r="O74" i="11"/>
  <c r="H112" i="10"/>
  <c r="J112" i="10" s="1"/>
  <c r="J111" i="10"/>
  <c r="AB188" i="12"/>
  <c r="AE188" i="12" s="1"/>
  <c r="Y188" i="12"/>
  <c r="Z188" i="12" s="1"/>
  <c r="AC188" i="12" s="1"/>
  <c r="AF188" i="12" s="1"/>
  <c r="AH80" i="10"/>
  <c r="AI80" i="10" s="1"/>
  <c r="AH157" i="11"/>
  <c r="AI157" i="11" s="1"/>
  <c r="H76" i="12"/>
  <c r="J75" i="12"/>
  <c r="N75" i="12" s="1"/>
  <c r="J74" i="12"/>
  <c r="N74" i="12" s="1"/>
  <c r="F139" i="11"/>
  <c r="F144" i="11"/>
  <c r="F129" i="11"/>
  <c r="F134" i="11"/>
  <c r="H104" i="11"/>
  <c r="F124" i="11"/>
  <c r="AM48" i="10"/>
  <c r="AL151" i="12"/>
  <c r="AJ151" i="12"/>
  <c r="AM151" i="12" s="1"/>
  <c r="AO151" i="12" s="1"/>
  <c r="AK151" i="12"/>
  <c r="AJ152" i="10"/>
  <c r="AM152" i="10" s="1"/>
  <c r="AO152" i="10" s="1"/>
  <c r="AL152" i="10"/>
  <c r="AJ178" i="10"/>
  <c r="AM178" i="10" s="1"/>
  <c r="AO178" i="10" s="1"/>
  <c r="AL178" i="10"/>
  <c r="AK178" i="10"/>
  <c r="AJ181" i="12"/>
  <c r="AL181" i="12"/>
  <c r="AK181" i="12"/>
  <c r="AB166" i="12"/>
  <c r="AE166" i="12" s="1"/>
  <c r="Y166" i="12"/>
  <c r="Z166" i="12" s="1"/>
  <c r="AC166" i="12" s="1"/>
  <c r="AF166" i="12" s="1"/>
  <c r="Y154" i="11"/>
  <c r="W154" i="11"/>
  <c r="AB154" i="11"/>
  <c r="AE154" i="11" s="1"/>
  <c r="AD154" i="11"/>
  <c r="AG154" i="11" s="1"/>
  <c r="AC154" i="11"/>
  <c r="AF154" i="11" s="1"/>
  <c r="V154" i="11"/>
  <c r="X154" i="11"/>
  <c r="AA154" i="11"/>
  <c r="Z154" i="11"/>
  <c r="Z190" i="12"/>
  <c r="AC190" i="12" s="1"/>
  <c r="AF190" i="12" s="1"/>
  <c r="V48" i="11"/>
  <c r="AA48" i="11"/>
  <c r="AD48" i="11" s="1"/>
  <c r="AG48" i="11" s="1"/>
  <c r="V54" i="11"/>
  <c r="AH189" i="12"/>
  <c r="AI189" i="12" s="1"/>
  <c r="Z195" i="12"/>
  <c r="AC195" i="12" s="1"/>
  <c r="AF195" i="12" s="1"/>
  <c r="AH195" i="12" s="1"/>
  <c r="AI195" i="12" s="1"/>
  <c r="AA183" i="11"/>
  <c r="AD183" i="11" s="1"/>
  <c r="AG183" i="11" s="1"/>
  <c r="W176" i="12"/>
  <c r="X176" i="12"/>
  <c r="R174" i="11"/>
  <c r="S174" i="11"/>
  <c r="T174" i="11" s="1"/>
  <c r="V156" i="12"/>
  <c r="J94" i="12"/>
  <c r="N94" i="12" s="1"/>
  <c r="X187" i="12"/>
  <c r="Y73" i="10"/>
  <c r="Z73" i="10" s="1"/>
  <c r="AC73" i="10" s="1"/>
  <c r="AF73" i="10" s="1"/>
  <c r="AB73" i="10"/>
  <c r="AE73" i="10" s="1"/>
  <c r="X185" i="12"/>
  <c r="W185" i="12"/>
  <c r="AJ171" i="12"/>
  <c r="AL171" i="12"/>
  <c r="AK171" i="12"/>
  <c r="O93" i="12"/>
  <c r="P56" i="11"/>
  <c r="AL151" i="10"/>
  <c r="AJ151" i="10"/>
  <c r="AM151" i="10" s="1"/>
  <c r="AO151" i="10" s="1"/>
  <c r="AK151" i="10"/>
  <c r="Q160" i="12"/>
  <c r="P160" i="12"/>
  <c r="U160" i="12"/>
  <c r="AL176" i="10"/>
  <c r="AJ176" i="10"/>
  <c r="AK176" i="10"/>
  <c r="AC159" i="10"/>
  <c r="AF159" i="10" s="1"/>
  <c r="AA159" i="10"/>
  <c r="V159" i="10"/>
  <c r="Y159" i="10"/>
  <c r="W159" i="10"/>
  <c r="AB159" i="10"/>
  <c r="AE159" i="10" s="1"/>
  <c r="AD159" i="10"/>
  <c r="AG159" i="10" s="1"/>
  <c r="X159" i="10"/>
  <c r="Z159" i="10"/>
  <c r="Y191" i="12"/>
  <c r="Z191" i="12" s="1"/>
  <c r="AC191" i="12" s="1"/>
  <c r="AF191" i="12" s="1"/>
  <c r="AB191" i="12"/>
  <c r="AE191" i="12" s="1"/>
  <c r="H71" i="12"/>
  <c r="F87" i="12"/>
  <c r="J87" i="12" s="1"/>
  <c r="N87" i="12" s="1"/>
  <c r="J70" i="12"/>
  <c r="N70" i="12" s="1"/>
  <c r="H62" i="12"/>
  <c r="J62" i="12" s="1"/>
  <c r="N62" i="12" s="1"/>
  <c r="J61" i="12"/>
  <c r="N61" i="12" s="1"/>
  <c r="AJ152" i="11"/>
  <c r="AM152" i="11" s="1"/>
  <c r="AO152" i="11" s="1"/>
  <c r="AL152" i="11"/>
  <c r="R168" i="12"/>
  <c r="S168" i="12"/>
  <c r="T168" i="12" s="1"/>
  <c r="W158" i="11"/>
  <c r="AC158" i="11"/>
  <c r="AF158" i="11" s="1"/>
  <c r="AB158" i="11"/>
  <c r="AE158" i="11" s="1"/>
  <c r="AD158" i="11"/>
  <c r="AG158" i="11" s="1"/>
  <c r="Y158" i="11"/>
  <c r="AA158" i="11"/>
  <c r="Z158" i="11"/>
  <c r="X158" i="11"/>
  <c r="V158" i="11"/>
  <c r="O51" i="11"/>
  <c r="F28" i="11"/>
  <c r="F24" i="11"/>
  <c r="J23" i="11"/>
  <c r="N23" i="11" s="1"/>
  <c r="H131" i="10"/>
  <c r="J130" i="10"/>
  <c r="H146" i="10"/>
  <c r="J145" i="10"/>
  <c r="Q159" i="12"/>
  <c r="P159" i="12"/>
  <c r="U159" i="12"/>
  <c r="J96" i="12"/>
  <c r="N96" i="12" s="1"/>
  <c r="H116" i="10"/>
  <c r="J115" i="10"/>
  <c r="S158" i="12"/>
  <c r="T158" i="12" s="1"/>
  <c r="R158" i="12"/>
  <c r="H76" i="11"/>
  <c r="J75" i="11"/>
  <c r="N75" i="11" s="1"/>
  <c r="S164" i="12"/>
  <c r="T164" i="12" s="1"/>
  <c r="R164" i="12"/>
  <c r="P50" i="11"/>
  <c r="W155" i="11"/>
  <c r="AC155" i="11"/>
  <c r="AF155" i="11" s="1"/>
  <c r="AD155" i="11"/>
  <c r="AG155" i="11" s="1"/>
  <c r="Y155" i="11"/>
  <c r="AA155" i="11"/>
  <c r="X155" i="11"/>
  <c r="Z155" i="11"/>
  <c r="V155" i="11"/>
  <c r="AB155" i="11"/>
  <c r="AE155" i="11" s="1"/>
  <c r="Q170" i="12"/>
  <c r="U170" i="12"/>
  <c r="P170" i="12"/>
  <c r="W196" i="12"/>
  <c r="X196" i="12"/>
  <c r="H101" i="10"/>
  <c r="J100" i="10"/>
  <c r="Y198" i="12"/>
  <c r="Z198" i="12" s="1"/>
  <c r="AC198" i="12" s="1"/>
  <c r="AF198" i="12" s="1"/>
  <c r="AB198" i="12"/>
  <c r="AE198" i="12" s="1"/>
  <c r="AK176" i="11"/>
  <c r="AJ176" i="11"/>
  <c r="AL176" i="11"/>
  <c r="X179" i="12"/>
  <c r="W179" i="12"/>
  <c r="J82" i="12"/>
  <c r="N82" i="12" s="1"/>
  <c r="AH162" i="12"/>
  <c r="AI162" i="12" s="1"/>
  <c r="H103" i="12"/>
  <c r="J103" i="12" s="1"/>
  <c r="N103" i="12" s="1"/>
  <c r="H118" i="12"/>
  <c r="F130" i="12"/>
  <c r="H98" i="12"/>
  <c r="F125" i="12"/>
  <c r="H109" i="12"/>
  <c r="J109" i="12" s="1"/>
  <c r="N109" i="12" s="1"/>
  <c r="O109" i="12" s="1"/>
  <c r="H113" i="12"/>
  <c r="F140" i="12"/>
  <c r="F145" i="12"/>
  <c r="F135" i="12"/>
  <c r="AJ182" i="10"/>
  <c r="AL182" i="10"/>
  <c r="AK182" i="10"/>
  <c r="AB49" i="10"/>
  <c r="AE49" i="10" s="1"/>
  <c r="Y49" i="10"/>
  <c r="Z49" i="10" s="1"/>
  <c r="AC49" i="10" s="1"/>
  <c r="AF49" i="10" s="1"/>
  <c r="Q79" i="11"/>
  <c r="R79" i="11" s="1"/>
  <c r="S79" i="11" s="1"/>
  <c r="T79" i="11" s="1"/>
  <c r="H106" i="10"/>
  <c r="J105" i="10"/>
  <c r="AH190" i="12"/>
  <c r="AI190" i="12" s="1"/>
  <c r="AB200" i="12"/>
  <c r="AE200" i="12" s="1"/>
  <c r="AH200" i="12" s="1"/>
  <c r="AI200" i="12" s="1"/>
  <c r="Y200" i="12"/>
  <c r="Z200" i="12" s="1"/>
  <c r="AC200" i="12" s="1"/>
  <c r="AF200" i="12" s="1"/>
  <c r="X183" i="11"/>
  <c r="X177" i="12"/>
  <c r="W177" i="12"/>
  <c r="F84" i="12"/>
  <c r="J84" i="12" s="1"/>
  <c r="N84" i="12" s="1"/>
  <c r="H56" i="12"/>
  <c r="F89" i="12"/>
  <c r="J89" i="12" s="1"/>
  <c r="N89" i="12" s="1"/>
  <c r="J55" i="12"/>
  <c r="N55" i="12" s="1"/>
  <c r="AA187" i="12"/>
  <c r="AD187" i="12" s="1"/>
  <c r="AG187" i="12" s="1"/>
  <c r="P80" i="11"/>
  <c r="O80" i="12"/>
  <c r="O78" i="12"/>
  <c r="P57" i="11"/>
  <c r="AH164" i="10"/>
  <c r="AI164" i="10" s="1"/>
  <c r="R175" i="11"/>
  <c r="S175" i="11"/>
  <c r="T175" i="11" s="1"/>
  <c r="V167" i="12"/>
  <c r="AC167" i="12"/>
  <c r="AF167" i="12" s="1"/>
  <c r="Z167" i="12"/>
  <c r="X167" i="12"/>
  <c r="W167" i="12"/>
  <c r="Y167" i="12"/>
  <c r="AA167" i="12"/>
  <c r="AB167" i="12"/>
  <c r="AE167" i="12" s="1"/>
  <c r="AD167" i="12"/>
  <c r="AG167" i="12" s="1"/>
  <c r="J95" i="12"/>
  <c r="N95" i="12" s="1"/>
  <c r="O60" i="12"/>
  <c r="P60" i="12" s="1"/>
  <c r="Q60" i="12" s="1"/>
  <c r="R60" i="12" s="1"/>
  <c r="S60" i="12" s="1"/>
  <c r="T60" i="12" s="1"/>
  <c r="AC155" i="10"/>
  <c r="AF155" i="10" s="1"/>
  <c r="AA155" i="10"/>
  <c r="V155" i="10"/>
  <c r="Y155" i="10"/>
  <c r="Z155" i="10"/>
  <c r="AD155" i="10"/>
  <c r="AG155" i="10" s="1"/>
  <c r="AB155" i="10"/>
  <c r="AE155" i="10" s="1"/>
  <c r="W155" i="10"/>
  <c r="X155" i="10"/>
  <c r="F88" i="11"/>
  <c r="J88" i="11" s="1"/>
  <c r="N88" i="11" s="1"/>
  <c r="O88" i="11" s="1"/>
  <c r="J52" i="11"/>
  <c r="N52" i="11" s="1"/>
  <c r="Q169" i="12"/>
  <c r="P169" i="12"/>
  <c r="U169" i="12"/>
  <c r="F28" i="12"/>
  <c r="F24" i="12"/>
  <c r="J23" i="12"/>
  <c r="N23" i="12" s="1"/>
  <c r="X55" i="10"/>
  <c r="W55" i="10"/>
  <c r="H141" i="10"/>
  <c r="J140" i="10"/>
  <c r="X78" i="11"/>
  <c r="Z78" i="11" s="1"/>
  <c r="AC78" i="11" s="1"/>
  <c r="AF78" i="11" s="1"/>
  <c r="AH78" i="11" s="1"/>
  <c r="AI78" i="11" s="1"/>
  <c r="O64" i="12"/>
  <c r="Y53" i="11"/>
  <c r="Z53" i="11" s="1"/>
  <c r="AC53" i="11" s="1"/>
  <c r="AF53" i="11" s="1"/>
  <c r="AB53" i="11"/>
  <c r="AE53" i="11" s="1"/>
  <c r="J129" i="10"/>
  <c r="AH180" i="12"/>
  <c r="AI180" i="12" s="1"/>
  <c r="AB194" i="12"/>
  <c r="AE194" i="12" s="1"/>
  <c r="Y194" i="12"/>
  <c r="Z194" i="12" s="1"/>
  <c r="AC194" i="12" s="1"/>
  <c r="AF194" i="12" s="1"/>
  <c r="Y185" i="10"/>
  <c r="Z185" i="10" s="1"/>
  <c r="AC185" i="10" s="1"/>
  <c r="AF185" i="10" s="1"/>
  <c r="AB185" i="10"/>
  <c r="AE185" i="10" s="1"/>
  <c r="J98" i="12"/>
  <c r="N98" i="12" s="1"/>
  <c r="V154" i="10"/>
  <c r="Y154" i="10"/>
  <c r="AB154" i="10"/>
  <c r="AE154" i="10" s="1"/>
  <c r="X154" i="10"/>
  <c r="AA154" i="10"/>
  <c r="AD154" i="10"/>
  <c r="AG154" i="10" s="1"/>
  <c r="W154" i="10"/>
  <c r="AC154" i="10"/>
  <c r="AF154" i="10" s="1"/>
  <c r="Z154" i="10"/>
  <c r="V165" i="11"/>
  <c r="W165" i="11"/>
  <c r="AC165" i="11"/>
  <c r="AF165" i="11" s="1"/>
  <c r="AB165" i="11"/>
  <c r="AE165" i="11" s="1"/>
  <c r="Z165" i="11"/>
  <c r="AD165" i="11"/>
  <c r="AG165" i="11" s="1"/>
  <c r="Y165" i="11"/>
  <c r="AA165" i="11"/>
  <c r="X165" i="11"/>
  <c r="AC170" i="10"/>
  <c r="AF170" i="10" s="1"/>
  <c r="AA170" i="10"/>
  <c r="V170" i="10"/>
  <c r="Z170" i="10"/>
  <c r="Y170" i="10"/>
  <c r="W170" i="10"/>
  <c r="AB170" i="10"/>
  <c r="AE170" i="10" s="1"/>
  <c r="AD170" i="10"/>
  <c r="AG170" i="10" s="1"/>
  <c r="X170" i="10"/>
  <c r="H119" i="11"/>
  <c r="F127" i="11"/>
  <c r="F137" i="11"/>
  <c r="F142" i="11"/>
  <c r="F147" i="11"/>
  <c r="F132" i="11"/>
  <c r="AD157" i="12"/>
  <c r="AG157" i="12" s="1"/>
  <c r="AC157" i="12"/>
  <c r="AF157" i="12" s="1"/>
  <c r="W157" i="12"/>
  <c r="Z157" i="12"/>
  <c r="AB157" i="12"/>
  <c r="AE157" i="12" s="1"/>
  <c r="AH157" i="12" s="1"/>
  <c r="AI157" i="12" s="1"/>
  <c r="V157" i="12"/>
  <c r="Y157" i="12"/>
  <c r="X157" i="12"/>
  <c r="AA157" i="12"/>
  <c r="AH153" i="11"/>
  <c r="AI153" i="11" s="1"/>
  <c r="Z160" i="10"/>
  <c r="AB160" i="10"/>
  <c r="AE160" i="10" s="1"/>
  <c r="AA160" i="10"/>
  <c r="V160" i="10"/>
  <c r="X160" i="10"/>
  <c r="W160" i="10"/>
  <c r="AC160" i="10"/>
  <c r="AF160" i="10" s="1"/>
  <c r="AD160" i="10"/>
  <c r="AG160" i="10" s="1"/>
  <c r="Y160" i="10"/>
  <c r="J138" i="10"/>
  <c r="W164" i="11"/>
  <c r="V164" i="11"/>
  <c r="AB164" i="11"/>
  <c r="AE164" i="11" s="1"/>
  <c r="Z164" i="11"/>
  <c r="AC164" i="11"/>
  <c r="AF164" i="11" s="1"/>
  <c r="AA164" i="11"/>
  <c r="Y164" i="11"/>
  <c r="X164" i="11"/>
  <c r="AD164" i="11"/>
  <c r="AG164" i="11" s="1"/>
  <c r="O54" i="12"/>
  <c r="H82" i="11"/>
  <c r="J82" i="11" s="1"/>
  <c r="N82" i="11" s="1"/>
  <c r="O82" i="11" s="1"/>
  <c r="J81" i="11"/>
  <c r="N81" i="11" s="1"/>
  <c r="O81" i="11" s="1"/>
  <c r="U75" i="10"/>
  <c r="AA75" i="10" s="1"/>
  <c r="AD75" i="10" s="1"/>
  <c r="AG75" i="10" s="1"/>
  <c r="F83" i="12"/>
  <c r="J83" i="12" s="1"/>
  <c r="N83" i="12" s="1"/>
  <c r="H51" i="12"/>
  <c r="J50" i="12"/>
  <c r="N50" i="12" s="1"/>
  <c r="U52" i="10"/>
  <c r="AA52" i="10" s="1"/>
  <c r="AD52" i="10" s="1"/>
  <c r="AG52" i="10" s="1"/>
  <c r="V152" i="12"/>
  <c r="Z152" i="12"/>
  <c r="AB152" i="12"/>
  <c r="AE152" i="12" s="1"/>
  <c r="X152" i="12"/>
  <c r="Y152" i="12"/>
  <c r="AA152" i="12"/>
  <c r="AD152" i="12"/>
  <c r="AG152" i="12" s="1"/>
  <c r="AC152" i="12"/>
  <c r="AF152" i="12" s="1"/>
  <c r="W152" i="12"/>
  <c r="AB183" i="10"/>
  <c r="AE183" i="10" s="1"/>
  <c r="Y183" i="10"/>
  <c r="Z183" i="10" s="1"/>
  <c r="AC183" i="10" s="1"/>
  <c r="AF183" i="10" s="1"/>
  <c r="AL180" i="11"/>
  <c r="AJ180" i="11"/>
  <c r="AM180" i="11" s="1"/>
  <c r="AO180" i="11" s="1"/>
  <c r="Q154" i="12"/>
  <c r="U154" i="12"/>
  <c r="P154" i="12"/>
  <c r="AL158" i="10"/>
  <c r="AJ158" i="10"/>
  <c r="AM158" i="10" s="1"/>
  <c r="AO158" i="10" s="1"/>
  <c r="O69" i="12"/>
  <c r="O85" i="12"/>
  <c r="U56" i="10"/>
  <c r="AA56" i="10" s="1"/>
  <c r="AD56" i="10" s="1"/>
  <c r="AG56" i="10" s="1"/>
  <c r="U175" i="12"/>
  <c r="Q175" i="12"/>
  <c r="P175" i="12"/>
  <c r="AM177" i="10"/>
  <c r="S165" i="12"/>
  <c r="T165" i="12" s="1"/>
  <c r="R165" i="12"/>
  <c r="H136" i="10"/>
  <c r="J135" i="10"/>
  <c r="O81" i="12"/>
  <c r="AK81" i="12"/>
  <c r="AB181" i="11"/>
  <c r="AE181" i="11" s="1"/>
  <c r="Y181" i="11"/>
  <c r="Z181" i="11" s="1"/>
  <c r="AC181" i="11" s="1"/>
  <c r="AF181" i="11" s="1"/>
  <c r="Q174" i="12"/>
  <c r="U174" i="12"/>
  <c r="P174" i="12"/>
  <c r="J143" i="10"/>
  <c r="W54" i="10"/>
  <c r="X54" i="10"/>
  <c r="J113" i="12"/>
  <c r="N113" i="12" s="1"/>
  <c r="O113" i="12" s="1"/>
  <c r="P108" i="12"/>
  <c r="R153" i="12"/>
  <c r="S153" i="12"/>
  <c r="T153" i="12" s="1"/>
  <c r="F143" i="11"/>
  <c r="F123" i="11"/>
  <c r="F133" i="11"/>
  <c r="J133" i="11" s="1"/>
  <c r="H99" i="11"/>
  <c r="F128" i="11"/>
  <c r="F138" i="11"/>
  <c r="F136" i="11"/>
  <c r="F126" i="11"/>
  <c r="F141" i="11"/>
  <c r="H114" i="11"/>
  <c r="F131" i="11"/>
  <c r="F146" i="11"/>
  <c r="P68" i="12"/>
  <c r="AA182" i="11"/>
  <c r="AD182" i="11" s="1"/>
  <c r="AG182" i="11" s="1"/>
  <c r="AL184" i="12"/>
  <c r="AJ184" i="12"/>
  <c r="AM184" i="12" s="1"/>
  <c r="AO184" i="12" s="1"/>
  <c r="AK184" i="12"/>
  <c r="AL197" i="12"/>
  <c r="J139" i="10"/>
  <c r="J128" i="10"/>
  <c r="Y179" i="11"/>
  <c r="Z179" i="11" s="1"/>
  <c r="AC179" i="11" s="1"/>
  <c r="AF179" i="11" s="1"/>
  <c r="AB179" i="11"/>
  <c r="AE179" i="11" s="1"/>
  <c r="AB78" i="10"/>
  <c r="AE78" i="10" s="1"/>
  <c r="Y78" i="10"/>
  <c r="Z78" i="10" s="1"/>
  <c r="AC78" i="10" s="1"/>
  <c r="AF78" i="10" s="1"/>
  <c r="Z81" i="10"/>
  <c r="AC81" i="10" s="1"/>
  <c r="AF81" i="10" s="1"/>
  <c r="AH81" i="10" s="1"/>
  <c r="AI81" i="10" s="1"/>
  <c r="V172" i="12"/>
  <c r="Y184" i="10"/>
  <c r="Z184" i="10" s="1"/>
  <c r="AC184" i="10" s="1"/>
  <c r="AF184" i="10" s="1"/>
  <c r="AB184" i="10"/>
  <c r="AE184" i="10" s="1"/>
  <c r="AB79" i="10"/>
  <c r="AE79" i="10" s="1"/>
  <c r="Y79" i="10"/>
  <c r="Z79" i="10" s="1"/>
  <c r="AC79" i="10" s="1"/>
  <c r="AF79" i="10" s="1"/>
  <c r="AA166" i="11"/>
  <c r="AD166" i="11" s="1"/>
  <c r="AG166" i="11" s="1"/>
  <c r="X189" i="10"/>
  <c r="W189" i="10"/>
  <c r="AA62" i="10"/>
  <c r="AD62" i="10" s="1"/>
  <c r="AG62" i="10" s="1"/>
  <c r="AA85" i="10"/>
  <c r="AD85" i="10" s="1"/>
  <c r="AG85" i="10" s="1"/>
  <c r="V61" i="10"/>
  <c r="X61" i="10" s="1"/>
  <c r="U67" i="10"/>
  <c r="AA67" i="10" s="1"/>
  <c r="AD67" i="10" s="1"/>
  <c r="AG67" i="10" s="1"/>
  <c r="U194" i="10"/>
  <c r="AA194" i="10" s="1"/>
  <c r="AD194" i="10" s="1"/>
  <c r="AG194" i="10" s="1"/>
  <c r="X62" i="10"/>
  <c r="W62" i="10"/>
  <c r="X85" i="10"/>
  <c r="W85" i="10"/>
  <c r="O92" i="10"/>
  <c r="P92" i="10" s="1"/>
  <c r="O87" i="10"/>
  <c r="P87" i="10" s="1"/>
  <c r="AA187" i="11"/>
  <c r="AD187" i="11" s="1"/>
  <c r="AG187" i="11" s="1"/>
  <c r="Q86" i="10"/>
  <c r="R86" i="10" s="1"/>
  <c r="S86" i="10" s="1"/>
  <c r="T86" i="10" s="1"/>
  <c r="O91" i="10"/>
  <c r="P91" i="10" s="1"/>
  <c r="U200" i="10"/>
  <c r="V200" i="10" s="1"/>
  <c r="W200" i="10" s="1"/>
  <c r="Y200" i="10" s="1"/>
  <c r="Y58" i="11"/>
  <c r="Z58" i="11" s="1"/>
  <c r="AC58" i="11" s="1"/>
  <c r="AF58" i="11" s="1"/>
  <c r="AH58" i="11" s="1"/>
  <c r="AI58" i="11" s="1"/>
  <c r="AL190" i="10"/>
  <c r="AJ190" i="10"/>
  <c r="AM190" i="10" s="1"/>
  <c r="AO190" i="10" s="1"/>
  <c r="AB188" i="10"/>
  <c r="AE188" i="10" s="1"/>
  <c r="Y188" i="10"/>
  <c r="Z188" i="10" s="1"/>
  <c r="AC188" i="10" s="1"/>
  <c r="AF188" i="10" s="1"/>
  <c r="R195" i="10"/>
  <c r="S195" i="10" s="1"/>
  <c r="T195" i="10" s="1"/>
  <c r="U110" i="12"/>
  <c r="V110" i="12" s="1"/>
  <c r="P112" i="12"/>
  <c r="Q112" i="12" s="1"/>
  <c r="L124" i="12"/>
  <c r="M124" i="12" s="1"/>
  <c r="K125" i="12"/>
  <c r="R111" i="12"/>
  <c r="S111" i="12" s="1"/>
  <c r="T111" i="12" s="1"/>
  <c r="W166" i="11"/>
  <c r="Y166" i="11" s="1"/>
  <c r="X166" i="11"/>
  <c r="U64" i="11"/>
  <c r="AA64" i="11" s="1"/>
  <c r="AD64" i="11" s="1"/>
  <c r="AG64" i="11" s="1"/>
  <c r="U171" i="11"/>
  <c r="V171" i="11" s="1"/>
  <c r="U60" i="11"/>
  <c r="U68" i="11"/>
  <c r="U188" i="11"/>
  <c r="V188" i="11" s="1"/>
  <c r="U192" i="11"/>
  <c r="V192" i="11" s="1"/>
  <c r="W192" i="11" s="1"/>
  <c r="W59" i="11"/>
  <c r="X59" i="11"/>
  <c r="U84" i="11"/>
  <c r="V84" i="11" s="1"/>
  <c r="X84" i="11" s="1"/>
  <c r="P194" i="11"/>
  <c r="Q194" i="11" s="1"/>
  <c r="P90" i="11"/>
  <c r="Q90" i="11" s="1"/>
  <c r="O92" i="11"/>
  <c r="O87" i="11"/>
  <c r="W187" i="11"/>
  <c r="AA59" i="11"/>
  <c r="AD59" i="11" s="1"/>
  <c r="AG59" i="11" s="1"/>
  <c r="O71" i="11"/>
  <c r="P86" i="11"/>
  <c r="P67" i="11"/>
  <c r="Q67" i="11" s="1"/>
  <c r="Q172" i="11"/>
  <c r="R172" i="11" s="1"/>
  <c r="S172" i="11" s="1"/>
  <c r="T172" i="11" s="1"/>
  <c r="K97" i="11"/>
  <c r="L97" i="11" s="1"/>
  <c r="M97" i="11" s="1"/>
  <c r="N97" i="11" s="1"/>
  <c r="L96" i="11"/>
  <c r="M96" i="11" s="1"/>
  <c r="N96" i="11" s="1"/>
  <c r="O200" i="11"/>
  <c r="Y185" i="11"/>
  <c r="AB185" i="11"/>
  <c r="AE185" i="11" s="1"/>
  <c r="P94" i="11"/>
  <c r="Q94" i="11" s="1"/>
  <c r="L98" i="11"/>
  <c r="M98" i="11" s="1"/>
  <c r="N98" i="11" s="1"/>
  <c r="K99" i="11"/>
  <c r="Y161" i="11"/>
  <c r="Z161" i="11" s="1"/>
  <c r="AC161" i="11" s="1"/>
  <c r="AF161" i="11" s="1"/>
  <c r="AB161" i="11"/>
  <c r="AE161" i="11" s="1"/>
  <c r="V83" i="11"/>
  <c r="O72" i="11"/>
  <c r="Q189" i="11"/>
  <c r="R189" i="11" s="1"/>
  <c r="S189" i="11" s="1"/>
  <c r="T189" i="11" s="1"/>
  <c r="U196" i="11"/>
  <c r="AA196" i="11" s="1"/>
  <c r="AD196" i="11" s="1"/>
  <c r="AG196" i="11" s="1"/>
  <c r="R61" i="11"/>
  <c r="S61" i="11" s="1"/>
  <c r="T61" i="11" s="1"/>
  <c r="R93" i="11"/>
  <c r="S93" i="11" s="1"/>
  <c r="T93" i="11" s="1"/>
  <c r="Q85" i="11"/>
  <c r="R85" i="11" s="1"/>
  <c r="S85" i="11" s="1"/>
  <c r="T85" i="11" s="1"/>
  <c r="O95" i="11"/>
  <c r="Q62" i="11"/>
  <c r="R62" i="11" s="1"/>
  <c r="S62" i="11" s="1"/>
  <c r="T62" i="11" s="1"/>
  <c r="O199" i="11"/>
  <c r="R65" i="11"/>
  <c r="S65" i="11" s="1"/>
  <c r="T65" i="11" s="1"/>
  <c r="R89" i="11"/>
  <c r="S89" i="11" s="1"/>
  <c r="T89" i="11" s="1"/>
  <c r="P198" i="11"/>
  <c r="AA63" i="11"/>
  <c r="AD63" i="11" s="1"/>
  <c r="AG63" i="11" s="1"/>
  <c r="W186" i="11"/>
  <c r="X186" i="11"/>
  <c r="R193" i="11"/>
  <c r="S193" i="11" s="1"/>
  <c r="T193" i="11" s="1"/>
  <c r="Q69" i="11"/>
  <c r="R69" i="11" s="1"/>
  <c r="S69" i="11" s="1"/>
  <c r="T69" i="11" s="1"/>
  <c r="P66" i="11"/>
  <c r="Q66" i="11" s="1"/>
  <c r="O91" i="11"/>
  <c r="P70" i="11"/>
  <c r="P195" i="11"/>
  <c r="Q195" i="11" s="1"/>
  <c r="R190" i="11"/>
  <c r="S190" i="11" s="1"/>
  <c r="T190" i="11" s="1"/>
  <c r="R197" i="11"/>
  <c r="S197" i="11" s="1"/>
  <c r="T197" i="11" s="1"/>
  <c r="V191" i="11"/>
  <c r="V63" i="11"/>
  <c r="V166" i="10"/>
  <c r="W166" i="10" s="1"/>
  <c r="Y166" i="10" s="1"/>
  <c r="AA151" i="2"/>
  <c r="AD151" i="2" s="1"/>
  <c r="AG151" i="2" s="1"/>
  <c r="AA176" i="2"/>
  <c r="Y176" i="2"/>
  <c r="Z176" i="2"/>
  <c r="AC176" i="2"/>
  <c r="AF176" i="2" s="1"/>
  <c r="AB176" i="2"/>
  <c r="AE176" i="2" s="1"/>
  <c r="AD176" i="2"/>
  <c r="AG176" i="2" s="1"/>
  <c r="X176" i="2"/>
  <c r="W176" i="2"/>
  <c r="V176" i="2"/>
  <c r="AB155" i="2"/>
  <c r="AE155" i="2" s="1"/>
  <c r="AD155" i="2"/>
  <c r="AG155" i="2" s="1"/>
  <c r="Z155" i="2"/>
  <c r="AA155" i="2"/>
  <c r="X155" i="2"/>
  <c r="Y155" i="2"/>
  <c r="V155" i="2"/>
  <c r="W155" i="2"/>
  <c r="AC155" i="2"/>
  <c r="AF155" i="2" s="1"/>
  <c r="AC80" i="2"/>
  <c r="AF80" i="2" s="1"/>
  <c r="Z80" i="2"/>
  <c r="V80" i="2"/>
  <c r="X80" i="2"/>
  <c r="W80" i="2"/>
  <c r="AD80" i="2"/>
  <c r="AG80" i="2" s="1"/>
  <c r="Y80" i="2"/>
  <c r="AA80" i="2"/>
  <c r="AB80" i="2"/>
  <c r="AE80" i="2" s="1"/>
  <c r="AH80" i="2" s="1"/>
  <c r="AI80" i="2" s="1"/>
  <c r="AJ188" i="2"/>
  <c r="AM188" i="2" s="1"/>
  <c r="AL188" i="2"/>
  <c r="AH85" i="2"/>
  <c r="AI85" i="2" s="1"/>
  <c r="AH126" i="2"/>
  <c r="AI126" i="2" s="1"/>
  <c r="AJ153" i="2"/>
  <c r="AL153" i="2"/>
  <c r="AH154" i="2"/>
  <c r="AI154" i="2" s="1"/>
  <c r="O158" i="2"/>
  <c r="U158" i="2" s="1"/>
  <c r="AK158" i="2"/>
  <c r="AA76" i="2"/>
  <c r="Y76" i="2"/>
  <c r="AB76" i="2"/>
  <c r="AE76" i="2" s="1"/>
  <c r="V76" i="2"/>
  <c r="AD76" i="2"/>
  <c r="AG76" i="2" s="1"/>
  <c r="Z76" i="2"/>
  <c r="W76" i="2"/>
  <c r="X76" i="2"/>
  <c r="AC76" i="2"/>
  <c r="AF76" i="2" s="1"/>
  <c r="AH189" i="2"/>
  <c r="AI189" i="2" s="1"/>
  <c r="AH75" i="2"/>
  <c r="AI75" i="2" s="1"/>
  <c r="V151" i="2"/>
  <c r="W151" i="2" s="1"/>
  <c r="Y151" i="2" s="1"/>
  <c r="AB151" i="2"/>
  <c r="AE151" i="2" s="1"/>
  <c r="AA86" i="2"/>
  <c r="V86" i="2"/>
  <c r="AD86" i="2"/>
  <c r="AG86" i="2" s="1"/>
  <c r="Z86" i="2"/>
  <c r="X86" i="2"/>
  <c r="Y86" i="2"/>
  <c r="AC86" i="2"/>
  <c r="AF86" i="2" s="1"/>
  <c r="W86" i="2"/>
  <c r="AB86" i="2"/>
  <c r="AE86" i="2" s="1"/>
  <c r="O177" i="2"/>
  <c r="U177" i="2" s="1"/>
  <c r="AK177" i="2"/>
  <c r="AB81" i="2"/>
  <c r="AE81" i="2" s="1"/>
  <c r="Y81" i="2"/>
  <c r="AC81" i="2"/>
  <c r="AF81" i="2" s="1"/>
  <c r="AA81" i="2"/>
  <c r="W81" i="2"/>
  <c r="Z81" i="2"/>
  <c r="X81" i="2"/>
  <c r="AD81" i="2"/>
  <c r="AG81" i="2" s="1"/>
  <c r="V81" i="2"/>
  <c r="AL184" i="2"/>
  <c r="AJ184" i="2"/>
  <c r="AM184" i="2" s="1"/>
  <c r="U64" i="10"/>
  <c r="V64" i="10" s="1"/>
  <c r="X192" i="10"/>
  <c r="W192" i="10"/>
  <c r="U68" i="10"/>
  <c r="V68" i="10" s="1"/>
  <c r="U193" i="10"/>
  <c r="AA193" i="10" s="1"/>
  <c r="AD193" i="10" s="1"/>
  <c r="AG193" i="10" s="1"/>
  <c r="U171" i="10"/>
  <c r="AA171" i="10" s="1"/>
  <c r="AD171" i="10" s="1"/>
  <c r="AG171" i="10" s="1"/>
  <c r="V163" i="10"/>
  <c r="X163" i="10" s="1"/>
  <c r="U163" i="10"/>
  <c r="AA163" i="10" s="1"/>
  <c r="AD163" i="10" s="1"/>
  <c r="AG163" i="10" s="1"/>
  <c r="U60" i="10"/>
  <c r="U197" i="10"/>
  <c r="U167" i="10"/>
  <c r="U84" i="10"/>
  <c r="P173" i="10"/>
  <c r="Q173" i="10" s="1"/>
  <c r="P90" i="10"/>
  <c r="Q90" i="10" s="1"/>
  <c r="W191" i="10"/>
  <c r="X191" i="10"/>
  <c r="O174" i="10"/>
  <c r="O71" i="10"/>
  <c r="AB186" i="10"/>
  <c r="AE186" i="10" s="1"/>
  <c r="Y186" i="10"/>
  <c r="Z186" i="10" s="1"/>
  <c r="AC186" i="10" s="1"/>
  <c r="AF186" i="10" s="1"/>
  <c r="X161" i="10"/>
  <c r="W161" i="10"/>
  <c r="W58" i="10"/>
  <c r="X58" i="10"/>
  <c r="P94" i="10"/>
  <c r="R93" i="10"/>
  <c r="S93" i="10" s="1"/>
  <c r="T93" i="10" s="1"/>
  <c r="O175" i="10"/>
  <c r="R198" i="10"/>
  <c r="S198" i="10" s="1"/>
  <c r="T198" i="10" s="1"/>
  <c r="Q172" i="10"/>
  <c r="R172" i="10" s="1"/>
  <c r="S172" i="10" s="1"/>
  <c r="T172" i="10" s="1"/>
  <c r="P66" i="10"/>
  <c r="Q66" i="10" s="1"/>
  <c r="V59" i="10"/>
  <c r="V196" i="10"/>
  <c r="AA196" i="10"/>
  <c r="AD196" i="10" s="1"/>
  <c r="AG196" i="10" s="1"/>
  <c r="P169" i="10"/>
  <c r="Q169" i="10" s="1"/>
  <c r="U88" i="10"/>
  <c r="O95" i="10"/>
  <c r="P199" i="10"/>
  <c r="Q199" i="10" s="1"/>
  <c r="W187" i="10"/>
  <c r="X187" i="10"/>
  <c r="AA192" i="10"/>
  <c r="AD192" i="10" s="1"/>
  <c r="AG192" i="10" s="1"/>
  <c r="Q168" i="10"/>
  <c r="R168" i="10" s="1"/>
  <c r="S168" i="10" s="1"/>
  <c r="T168" i="10" s="1"/>
  <c r="R69" i="10"/>
  <c r="S69" i="10" s="1"/>
  <c r="T69" i="10" s="1"/>
  <c r="O72" i="10"/>
  <c r="V162" i="10"/>
  <c r="P70" i="10"/>
  <c r="Q70" i="10" s="1"/>
  <c r="L98" i="10"/>
  <c r="M98" i="10" s="1"/>
  <c r="N98" i="10" s="1"/>
  <c r="O98" i="10" s="1"/>
  <c r="P98" i="10" s="1"/>
  <c r="K99" i="10"/>
  <c r="R89" i="10"/>
  <c r="S89" i="10" s="1"/>
  <c r="T89" i="10" s="1"/>
  <c r="Q65" i="10"/>
  <c r="R65" i="10" s="1"/>
  <c r="S65" i="10" s="1"/>
  <c r="T65" i="10" s="1"/>
  <c r="L96" i="10"/>
  <c r="M96" i="10" s="1"/>
  <c r="N96" i="10" s="1"/>
  <c r="K97" i="10"/>
  <c r="L97" i="10" s="1"/>
  <c r="M97" i="10" s="1"/>
  <c r="N97" i="10" s="1"/>
  <c r="V63" i="10"/>
  <c r="AA63" i="10"/>
  <c r="AD63" i="10" s="1"/>
  <c r="AG63" i="10" s="1"/>
  <c r="V83" i="10"/>
  <c r="AA83" i="10"/>
  <c r="AD83" i="10" s="1"/>
  <c r="AG83" i="10" s="1"/>
  <c r="A83" i="4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M153" i="2"/>
  <c r="AO153" i="2" s="1"/>
  <c r="AM179" i="2"/>
  <c r="P127" i="2"/>
  <c r="Q127" i="2" s="1"/>
  <c r="P200" i="2"/>
  <c r="S91" i="2"/>
  <c r="T91" i="2" s="1"/>
  <c r="S194" i="2"/>
  <c r="T194" i="2" s="1"/>
  <c r="S195" i="2"/>
  <c r="T195" i="2" s="1"/>
  <c r="P97" i="2"/>
  <c r="P132" i="2"/>
  <c r="P182" i="2"/>
  <c r="S92" i="2"/>
  <c r="T92" i="2" s="1"/>
  <c r="K155" i="2"/>
  <c r="L154" i="2"/>
  <c r="M154" i="2" s="1"/>
  <c r="K73" i="2"/>
  <c r="L48" i="2"/>
  <c r="M48" i="2" s="1"/>
  <c r="N48" i="2" s="1"/>
  <c r="K49" i="2"/>
  <c r="I160" i="2"/>
  <c r="J159" i="2"/>
  <c r="N159" i="2" s="1"/>
  <c r="AK159" i="2" s="1"/>
  <c r="K179" i="2"/>
  <c r="L178" i="2"/>
  <c r="M178" i="2" s="1"/>
  <c r="H51" i="2"/>
  <c r="J78" i="2"/>
  <c r="R194" i="2"/>
  <c r="R195" i="2"/>
  <c r="Q200" i="2"/>
  <c r="O185" i="2"/>
  <c r="U185" i="2" s="1"/>
  <c r="O180" i="2"/>
  <c r="U180" i="2" s="1"/>
  <c r="Q182" i="2"/>
  <c r="R91" i="2"/>
  <c r="Q97" i="2"/>
  <c r="R92" i="2"/>
  <c r="L24" i="2"/>
  <c r="M24" i="2" s="1"/>
  <c r="K28" i="2"/>
  <c r="AJ57" i="10" l="1"/>
  <c r="AM57" i="10" s="1"/>
  <c r="AO57" i="10" s="1"/>
  <c r="AH86" i="2"/>
  <c r="AI86" i="2" s="1"/>
  <c r="Z185" i="11"/>
  <c r="AC185" i="11" s="1"/>
  <c r="AF185" i="11" s="1"/>
  <c r="AJ197" i="12"/>
  <c r="AM197" i="12" s="1"/>
  <c r="AL57" i="10"/>
  <c r="AH53" i="10"/>
  <c r="AI53" i="10" s="1"/>
  <c r="AL153" i="10"/>
  <c r="AH194" i="12"/>
  <c r="AI194" i="12" s="1"/>
  <c r="AJ194" i="12" s="1"/>
  <c r="AH53" i="11"/>
  <c r="AI53" i="11" s="1"/>
  <c r="AK199" i="12"/>
  <c r="AJ199" i="12"/>
  <c r="AL199" i="12"/>
  <c r="AB166" i="10"/>
  <c r="AE166" i="10" s="1"/>
  <c r="W61" i="10"/>
  <c r="AH49" i="10"/>
  <c r="AI49" i="10" s="1"/>
  <c r="V51" i="10"/>
  <c r="AM181" i="10"/>
  <c r="W73" i="11"/>
  <c r="X73" i="11"/>
  <c r="AH184" i="10"/>
  <c r="AI184" i="10" s="1"/>
  <c r="AJ184" i="10" s="1"/>
  <c r="AM184" i="10" s="1"/>
  <c r="AO184" i="10" s="1"/>
  <c r="AH181" i="11"/>
  <c r="AI181" i="11" s="1"/>
  <c r="AH164" i="11"/>
  <c r="AI164" i="11" s="1"/>
  <c r="AH73" i="10"/>
  <c r="AI73" i="10" s="1"/>
  <c r="AM181" i="12"/>
  <c r="V76" i="10"/>
  <c r="AM182" i="12"/>
  <c r="AH78" i="10"/>
  <c r="AI78" i="10" s="1"/>
  <c r="AH154" i="10"/>
  <c r="AI154" i="10" s="1"/>
  <c r="AJ154" i="10" s="1"/>
  <c r="AM154" i="10" s="1"/>
  <c r="AO154" i="10" s="1"/>
  <c r="AP151" i="10" s="1"/>
  <c r="AH185" i="10"/>
  <c r="AI185" i="10" s="1"/>
  <c r="AH155" i="10"/>
  <c r="AI155" i="10" s="1"/>
  <c r="AM182" i="10"/>
  <c r="AM161" i="12"/>
  <c r="AO161" i="12" s="1"/>
  <c r="AM192" i="12"/>
  <c r="V67" i="10"/>
  <c r="X67" i="10" s="1"/>
  <c r="AH79" i="10"/>
  <c r="AI79" i="10" s="1"/>
  <c r="AH158" i="11"/>
  <c r="AI158" i="11" s="1"/>
  <c r="AL158" i="11" s="1"/>
  <c r="AH191" i="12"/>
  <c r="AI191" i="12" s="1"/>
  <c r="AM176" i="10"/>
  <c r="AH188" i="12"/>
  <c r="AI188" i="12" s="1"/>
  <c r="AH50" i="10"/>
  <c r="AI50" i="10" s="1"/>
  <c r="AB73" i="11"/>
  <c r="AE73" i="11" s="1"/>
  <c r="Y73" i="11"/>
  <c r="AJ78" i="11"/>
  <c r="AL78" i="11"/>
  <c r="AK78" i="11"/>
  <c r="P109" i="12"/>
  <c r="AJ195" i="12"/>
  <c r="AL195" i="12"/>
  <c r="AK195" i="12"/>
  <c r="Y58" i="12"/>
  <c r="AB58" i="12"/>
  <c r="AE58" i="12" s="1"/>
  <c r="AB53" i="12"/>
  <c r="AE53" i="12" s="1"/>
  <c r="Y53" i="12"/>
  <c r="O103" i="12"/>
  <c r="AJ81" i="10"/>
  <c r="AM81" i="10" s="1"/>
  <c r="AO81" i="10" s="1"/>
  <c r="AK81" i="10"/>
  <c r="AL81" i="10"/>
  <c r="AB48" i="12"/>
  <c r="AE48" i="12" s="1"/>
  <c r="Y48" i="12"/>
  <c r="P177" i="2"/>
  <c r="Q108" i="12"/>
  <c r="R108" i="12" s="1"/>
  <c r="S108" i="12" s="1"/>
  <c r="T108" i="12" s="1"/>
  <c r="AB54" i="10"/>
  <c r="AE54" i="10" s="1"/>
  <c r="Y54" i="10"/>
  <c r="Z54" i="10" s="1"/>
  <c r="AC54" i="10" s="1"/>
  <c r="AF54" i="10" s="1"/>
  <c r="P81" i="12"/>
  <c r="U81" i="12"/>
  <c r="Q81" i="12"/>
  <c r="AH183" i="10"/>
  <c r="AI183" i="10" s="1"/>
  <c r="O50" i="12"/>
  <c r="P81" i="11"/>
  <c r="Q81" i="11"/>
  <c r="U81" i="11"/>
  <c r="AH160" i="10"/>
  <c r="AI160" i="10" s="1"/>
  <c r="P88" i="11"/>
  <c r="Q88" i="11" s="1"/>
  <c r="O95" i="12"/>
  <c r="AL164" i="10"/>
  <c r="AJ164" i="10"/>
  <c r="AM164" i="10" s="1"/>
  <c r="AO164" i="10" s="1"/>
  <c r="P78" i="12"/>
  <c r="Q78" i="12" s="1"/>
  <c r="R78" i="12" s="1"/>
  <c r="S78" i="12" s="1"/>
  <c r="T78" i="12" s="1"/>
  <c r="Q80" i="11"/>
  <c r="R80" i="11" s="1"/>
  <c r="S80" i="11" s="1"/>
  <c r="T80" i="11" s="1"/>
  <c r="O89" i="12"/>
  <c r="AB177" i="12"/>
  <c r="AE177" i="12" s="1"/>
  <c r="Y177" i="12"/>
  <c r="Z177" i="12" s="1"/>
  <c r="AC177" i="12" s="1"/>
  <c r="AF177" i="12" s="1"/>
  <c r="H107" i="10"/>
  <c r="J107" i="10" s="1"/>
  <c r="J106" i="10"/>
  <c r="H119" i="12"/>
  <c r="F147" i="12"/>
  <c r="F137" i="12"/>
  <c r="F142" i="12"/>
  <c r="F127" i="12"/>
  <c r="F132" i="12"/>
  <c r="AH198" i="12"/>
  <c r="AI198" i="12" s="1"/>
  <c r="S159" i="12"/>
  <c r="T159" i="12" s="1"/>
  <c r="R159" i="12"/>
  <c r="F33" i="11"/>
  <c r="J28" i="11"/>
  <c r="N28" i="11" s="1"/>
  <c r="O28" i="11" s="1"/>
  <c r="AD168" i="12"/>
  <c r="AG168" i="12" s="1"/>
  <c r="Y168" i="12"/>
  <c r="V168" i="12"/>
  <c r="AA168" i="12"/>
  <c r="Z168" i="12"/>
  <c r="AB168" i="12"/>
  <c r="AE168" i="12" s="1"/>
  <c r="AC168" i="12"/>
  <c r="AF168" i="12" s="1"/>
  <c r="X168" i="12"/>
  <c r="W168" i="12"/>
  <c r="O61" i="12"/>
  <c r="F97" i="12"/>
  <c r="J97" i="12" s="1"/>
  <c r="N97" i="12" s="1"/>
  <c r="H72" i="12"/>
  <c r="J72" i="12" s="1"/>
  <c r="N72" i="12" s="1"/>
  <c r="J71" i="12"/>
  <c r="N71" i="12" s="1"/>
  <c r="R160" i="12"/>
  <c r="S160" i="12"/>
  <c r="T160" i="12" s="1"/>
  <c r="O94" i="12"/>
  <c r="AD174" i="11"/>
  <c r="AG174" i="11" s="1"/>
  <c r="Y174" i="11"/>
  <c r="Z174" i="11"/>
  <c r="AB174" i="11"/>
  <c r="AE174" i="11" s="1"/>
  <c r="AC174" i="11"/>
  <c r="AF174" i="11" s="1"/>
  <c r="AA174" i="11"/>
  <c r="X174" i="11"/>
  <c r="W174" i="11"/>
  <c r="V174" i="11"/>
  <c r="W54" i="11"/>
  <c r="X54" i="11"/>
  <c r="W48" i="11"/>
  <c r="X48" i="11"/>
  <c r="AH154" i="11"/>
  <c r="AI154" i="11" s="1"/>
  <c r="AH166" i="12"/>
  <c r="AI166" i="12" s="1"/>
  <c r="H77" i="12"/>
  <c r="J77" i="12" s="1"/>
  <c r="N77" i="12" s="1"/>
  <c r="J76" i="12"/>
  <c r="N76" i="12" s="1"/>
  <c r="O65" i="12"/>
  <c r="F29" i="10"/>
  <c r="F25" i="10"/>
  <c r="J24" i="10"/>
  <c r="N24" i="10" s="1"/>
  <c r="R77" i="10"/>
  <c r="S77" i="10"/>
  <c r="T77" i="10" s="1"/>
  <c r="O92" i="12"/>
  <c r="AH168" i="11"/>
  <c r="AI168" i="11" s="1"/>
  <c r="P49" i="12"/>
  <c r="AL177" i="11"/>
  <c r="AJ177" i="11"/>
  <c r="AK177" i="11"/>
  <c r="AL167" i="11"/>
  <c r="AJ167" i="11"/>
  <c r="AM167" i="11" s="1"/>
  <c r="AO167" i="11" s="1"/>
  <c r="P79" i="12"/>
  <c r="Q79" i="12"/>
  <c r="R79" i="12" s="1"/>
  <c r="S79" i="12" s="1"/>
  <c r="T79" i="12" s="1"/>
  <c r="AL193" i="12"/>
  <c r="AJ193" i="12"/>
  <c r="AK193" i="12"/>
  <c r="AM186" i="12"/>
  <c r="AA73" i="11"/>
  <c r="AD73" i="11" s="1"/>
  <c r="AG73" i="11" s="1"/>
  <c r="V49" i="11"/>
  <c r="V184" i="11"/>
  <c r="AA48" i="12"/>
  <c r="AD48" i="12" s="1"/>
  <c r="AG48" i="12" s="1"/>
  <c r="X58" i="12"/>
  <c r="X53" i="12"/>
  <c r="AJ79" i="10"/>
  <c r="AL79" i="10"/>
  <c r="AK79" i="10"/>
  <c r="AJ78" i="10"/>
  <c r="AK78" i="10"/>
  <c r="AL78" i="10"/>
  <c r="H100" i="11"/>
  <c r="J99" i="11"/>
  <c r="Z153" i="12"/>
  <c r="V153" i="12"/>
  <c r="AC153" i="12"/>
  <c r="AF153" i="12" s="1"/>
  <c r="AA153" i="12"/>
  <c r="AD153" i="12"/>
  <c r="AG153" i="12" s="1"/>
  <c r="X153" i="12"/>
  <c r="AB153" i="12"/>
  <c r="AE153" i="12" s="1"/>
  <c r="W153" i="12"/>
  <c r="Y153" i="12"/>
  <c r="P113" i="12"/>
  <c r="AJ181" i="11"/>
  <c r="AL181" i="11"/>
  <c r="AK181" i="11"/>
  <c r="W165" i="12"/>
  <c r="AD165" i="12"/>
  <c r="AG165" i="12" s="1"/>
  <c r="V165" i="12"/>
  <c r="Z165" i="12"/>
  <c r="Y165" i="12"/>
  <c r="AB165" i="12"/>
  <c r="AE165" i="12" s="1"/>
  <c r="AC165" i="12"/>
  <c r="AF165" i="12" s="1"/>
  <c r="AA165" i="12"/>
  <c r="X165" i="12"/>
  <c r="P85" i="12"/>
  <c r="Q85" i="12" s="1"/>
  <c r="R85" i="12" s="1"/>
  <c r="S85" i="12" s="1"/>
  <c r="T85" i="12" s="1"/>
  <c r="U85" i="12" s="1"/>
  <c r="V52" i="10"/>
  <c r="H52" i="12"/>
  <c r="J51" i="12"/>
  <c r="N51" i="12" s="1"/>
  <c r="V75" i="10"/>
  <c r="P82" i="11"/>
  <c r="U82" i="11"/>
  <c r="H120" i="11"/>
  <c r="J119" i="11"/>
  <c r="AH170" i="10"/>
  <c r="AI170" i="10" s="1"/>
  <c r="AH165" i="11"/>
  <c r="AI165" i="11" s="1"/>
  <c r="AK185" i="10"/>
  <c r="AL185" i="10"/>
  <c r="AJ185" i="10"/>
  <c r="AM185" i="10" s="1"/>
  <c r="AO185" i="10" s="1"/>
  <c r="AL180" i="12"/>
  <c r="AJ180" i="12"/>
  <c r="AM180" i="12" s="1"/>
  <c r="AO180" i="12" s="1"/>
  <c r="B3" i="12"/>
  <c r="O23" i="12"/>
  <c r="R169" i="12"/>
  <c r="S169" i="12"/>
  <c r="T169" i="12" s="1"/>
  <c r="H57" i="12"/>
  <c r="J57" i="12" s="1"/>
  <c r="N57" i="12" s="1"/>
  <c r="J56" i="12"/>
  <c r="N56" i="12" s="1"/>
  <c r="AL200" i="12"/>
  <c r="AJ200" i="12"/>
  <c r="AK200" i="12"/>
  <c r="U79" i="11"/>
  <c r="V79" i="11" s="1"/>
  <c r="H104" i="12"/>
  <c r="F134" i="12"/>
  <c r="F139" i="12"/>
  <c r="F144" i="12"/>
  <c r="F129" i="12"/>
  <c r="F124" i="12"/>
  <c r="Y196" i="12"/>
  <c r="Z196" i="12" s="1"/>
  <c r="AC196" i="12" s="1"/>
  <c r="AF196" i="12" s="1"/>
  <c r="AB196" i="12"/>
  <c r="AE196" i="12" s="1"/>
  <c r="AH155" i="11"/>
  <c r="AI155" i="11" s="1"/>
  <c r="W164" i="12"/>
  <c r="AA164" i="12"/>
  <c r="V164" i="12"/>
  <c r="X164" i="12"/>
  <c r="Z164" i="12"/>
  <c r="AB164" i="12"/>
  <c r="AE164" i="12" s="1"/>
  <c r="AD164" i="12"/>
  <c r="AG164" i="12" s="1"/>
  <c r="Y164" i="12"/>
  <c r="AC164" i="12"/>
  <c r="AF164" i="12" s="1"/>
  <c r="AD158" i="12"/>
  <c r="AG158" i="12" s="1"/>
  <c r="AA158" i="12"/>
  <c r="V158" i="12"/>
  <c r="Z158" i="12"/>
  <c r="Y158" i="12"/>
  <c r="AC158" i="12"/>
  <c r="AF158" i="12" s="1"/>
  <c r="AB158" i="12"/>
  <c r="AE158" i="12" s="1"/>
  <c r="X158" i="12"/>
  <c r="W158" i="12"/>
  <c r="H132" i="10"/>
  <c r="J132" i="10" s="1"/>
  <c r="J131" i="10"/>
  <c r="AJ158" i="11"/>
  <c r="AM158" i="11" s="1"/>
  <c r="AO158" i="11" s="1"/>
  <c r="O62" i="12"/>
  <c r="AJ191" i="12"/>
  <c r="AL191" i="12"/>
  <c r="AK191" i="12"/>
  <c r="AK73" i="10"/>
  <c r="AL73" i="10"/>
  <c r="AJ73" i="10"/>
  <c r="O74" i="12"/>
  <c r="AL188" i="12"/>
  <c r="AJ188" i="12"/>
  <c r="AK188" i="12"/>
  <c r="P74" i="11"/>
  <c r="W173" i="12"/>
  <c r="Z173" i="12"/>
  <c r="Y173" i="12"/>
  <c r="AD173" i="12"/>
  <c r="AG173" i="12" s="1"/>
  <c r="V173" i="12"/>
  <c r="X173" i="12"/>
  <c r="AA173" i="12"/>
  <c r="AB173" i="12"/>
  <c r="AE173" i="12" s="1"/>
  <c r="AC173" i="12"/>
  <c r="AF173" i="12" s="1"/>
  <c r="F91" i="12"/>
  <c r="J91" i="12" s="1"/>
  <c r="N91" i="12" s="1"/>
  <c r="H67" i="12"/>
  <c r="J67" i="12" s="1"/>
  <c r="N67" i="12" s="1"/>
  <c r="J66" i="12"/>
  <c r="N66" i="12" s="1"/>
  <c r="H138" i="11"/>
  <c r="H139" i="11" s="1"/>
  <c r="H140" i="11" s="1"/>
  <c r="H123" i="11"/>
  <c r="H124" i="11" s="1"/>
  <c r="H125" i="11" s="1"/>
  <c r="H128" i="11"/>
  <c r="H143" i="11"/>
  <c r="H144" i="11" s="1"/>
  <c r="H145" i="11" s="1"/>
  <c r="H134" i="11"/>
  <c r="H135" i="11" s="1"/>
  <c r="F33" i="10"/>
  <c r="J28" i="10"/>
  <c r="N28" i="10" s="1"/>
  <c r="V73" i="12"/>
  <c r="O90" i="12"/>
  <c r="AH173" i="11"/>
  <c r="AI173" i="11" s="1"/>
  <c r="H122" i="10"/>
  <c r="J122" i="10" s="1"/>
  <c r="J121" i="10"/>
  <c r="Z183" i="11"/>
  <c r="AC183" i="11" s="1"/>
  <c r="AF183" i="11" s="1"/>
  <c r="X48" i="12"/>
  <c r="Q177" i="2"/>
  <c r="X166" i="10"/>
  <c r="X172" i="12"/>
  <c r="W172" i="12"/>
  <c r="AH179" i="11"/>
  <c r="AI179" i="11" s="1"/>
  <c r="S174" i="12"/>
  <c r="T174" i="12" s="1"/>
  <c r="R174" i="12"/>
  <c r="V56" i="10"/>
  <c r="S154" i="12"/>
  <c r="T154" i="12" s="1"/>
  <c r="R154" i="12"/>
  <c r="O83" i="12"/>
  <c r="AJ153" i="11"/>
  <c r="AM153" i="11" s="1"/>
  <c r="AO153" i="11" s="1"/>
  <c r="AL153" i="11"/>
  <c r="O98" i="12"/>
  <c r="P98" i="12" s="1"/>
  <c r="Q98" i="12" s="1"/>
  <c r="R98" i="12" s="1"/>
  <c r="S98" i="12" s="1"/>
  <c r="T98" i="12" s="1"/>
  <c r="P64" i="12"/>
  <c r="Q64" i="12" s="1"/>
  <c r="R64" i="12" s="1"/>
  <c r="S64" i="12" s="1"/>
  <c r="T64" i="12" s="1"/>
  <c r="U64" i="12" s="1"/>
  <c r="H142" i="10"/>
  <c r="J142" i="10" s="1"/>
  <c r="J141" i="10"/>
  <c r="F29" i="12"/>
  <c r="F25" i="12"/>
  <c r="J24" i="12"/>
  <c r="N24" i="12" s="1"/>
  <c r="AH167" i="12"/>
  <c r="AI167" i="12" s="1"/>
  <c r="AB175" i="11"/>
  <c r="AE175" i="11" s="1"/>
  <c r="X175" i="11"/>
  <c r="Z175" i="11"/>
  <c r="W175" i="11"/>
  <c r="AC175" i="11"/>
  <c r="AF175" i="11" s="1"/>
  <c r="AD175" i="11"/>
  <c r="AG175" i="11" s="1"/>
  <c r="AA175" i="11"/>
  <c r="Y175" i="11"/>
  <c r="V175" i="11"/>
  <c r="Q57" i="11"/>
  <c r="R57" i="11" s="1"/>
  <c r="S57" i="11" s="1"/>
  <c r="T57" i="11" s="1"/>
  <c r="P80" i="12"/>
  <c r="Q80" i="12" s="1"/>
  <c r="R80" i="12" s="1"/>
  <c r="S80" i="12" s="1"/>
  <c r="T80" i="12" s="1"/>
  <c r="U80" i="12" s="1"/>
  <c r="O84" i="12"/>
  <c r="AL190" i="12"/>
  <c r="AJ190" i="12"/>
  <c r="AM190" i="12" s="1"/>
  <c r="AO190" i="12" s="1"/>
  <c r="AK190" i="12"/>
  <c r="F123" i="12"/>
  <c r="F138" i="12"/>
  <c r="H99" i="12"/>
  <c r="F128" i="12"/>
  <c r="F133" i="12"/>
  <c r="F143" i="12"/>
  <c r="AK82" i="12"/>
  <c r="O82" i="12"/>
  <c r="AM176" i="11"/>
  <c r="R170" i="12"/>
  <c r="S170" i="12"/>
  <c r="T170" i="12" s="1"/>
  <c r="O75" i="11"/>
  <c r="AK75" i="11"/>
  <c r="O96" i="12"/>
  <c r="O23" i="11"/>
  <c r="B3" i="11"/>
  <c r="P51" i="11"/>
  <c r="O70" i="12"/>
  <c r="AH159" i="10"/>
  <c r="AI159" i="10" s="1"/>
  <c r="Q56" i="11"/>
  <c r="R56" i="11" s="1"/>
  <c r="S56" i="11" s="1"/>
  <c r="T56" i="11" s="1"/>
  <c r="AM171" i="12"/>
  <c r="AO171" i="12" s="1"/>
  <c r="W156" i="12"/>
  <c r="X156" i="12"/>
  <c r="H105" i="11"/>
  <c r="J104" i="11"/>
  <c r="J139" i="11"/>
  <c r="J118" i="12"/>
  <c r="N118" i="12" s="1"/>
  <c r="O118" i="12" s="1"/>
  <c r="AJ157" i="11"/>
  <c r="AM157" i="11" s="1"/>
  <c r="AO157" i="11" s="1"/>
  <c r="AL157" i="11"/>
  <c r="AC169" i="11"/>
  <c r="AF169" i="11" s="1"/>
  <c r="AA169" i="11"/>
  <c r="AD169" i="11"/>
  <c r="AG169" i="11" s="1"/>
  <c r="Y169" i="11"/>
  <c r="W169" i="11"/>
  <c r="Z169" i="11"/>
  <c r="AB169" i="11"/>
  <c r="AE169" i="11" s="1"/>
  <c r="AH169" i="11" s="1"/>
  <c r="AI169" i="11" s="1"/>
  <c r="V169" i="11"/>
  <c r="X169" i="11"/>
  <c r="O86" i="12"/>
  <c r="H125" i="10"/>
  <c r="J124" i="10"/>
  <c r="AK74" i="10"/>
  <c r="AJ74" i="10"/>
  <c r="AL74" i="10"/>
  <c r="AA73" i="12"/>
  <c r="AD73" i="12" s="1"/>
  <c r="AG73" i="12" s="1"/>
  <c r="W73" i="12"/>
  <c r="AB73" i="12" s="1"/>
  <c r="AE73" i="12" s="1"/>
  <c r="X73" i="12"/>
  <c r="AH163" i="12"/>
  <c r="AI163" i="12" s="1"/>
  <c r="W160" i="11"/>
  <c r="AD160" i="11"/>
  <c r="AG160" i="11" s="1"/>
  <c r="AB160" i="11"/>
  <c r="AE160" i="11" s="1"/>
  <c r="AA160" i="11"/>
  <c r="Y160" i="11"/>
  <c r="X160" i="11"/>
  <c r="V160" i="11"/>
  <c r="AC160" i="11"/>
  <c r="AF160" i="11" s="1"/>
  <c r="Z160" i="11"/>
  <c r="S155" i="12"/>
  <c r="T155" i="12" s="1"/>
  <c r="R155" i="12"/>
  <c r="Q63" i="12"/>
  <c r="R63" i="12" s="1"/>
  <c r="S63" i="12" s="1"/>
  <c r="T63" i="12" s="1"/>
  <c r="AH183" i="11"/>
  <c r="AI183" i="11" s="1"/>
  <c r="V55" i="11"/>
  <c r="AA58" i="12"/>
  <c r="AD58" i="12" s="1"/>
  <c r="AG58" i="12" s="1"/>
  <c r="AA53" i="12"/>
  <c r="AD53" i="12" s="1"/>
  <c r="AG53" i="12" s="1"/>
  <c r="Z187" i="12"/>
  <c r="AC187" i="12" s="1"/>
  <c r="AF187" i="12" s="1"/>
  <c r="AK184" i="10"/>
  <c r="Q68" i="12"/>
  <c r="R68" i="12" s="1"/>
  <c r="S68" i="12" s="1"/>
  <c r="T68" i="12" s="1"/>
  <c r="H115" i="11"/>
  <c r="J114" i="11"/>
  <c r="J138" i="11"/>
  <c r="J123" i="11"/>
  <c r="H137" i="10"/>
  <c r="J137" i="10" s="1"/>
  <c r="J136" i="10"/>
  <c r="R175" i="12"/>
  <c r="S175" i="12"/>
  <c r="T175" i="12" s="1"/>
  <c r="P69" i="12"/>
  <c r="Q69" i="12" s="1"/>
  <c r="R69" i="12" s="1"/>
  <c r="S69" i="12" s="1"/>
  <c r="T69" i="12" s="1"/>
  <c r="U69" i="12" s="1"/>
  <c r="AH152" i="12"/>
  <c r="AI152" i="12" s="1"/>
  <c r="P54" i="12"/>
  <c r="Q54" i="12" s="1"/>
  <c r="R54" i="12" s="1"/>
  <c r="S54" i="12" s="1"/>
  <c r="T54" i="12" s="1"/>
  <c r="AJ164" i="11"/>
  <c r="AM164" i="11" s="1"/>
  <c r="AO164" i="11" s="1"/>
  <c r="AL164" i="11"/>
  <c r="AJ157" i="12"/>
  <c r="AM157" i="12" s="1"/>
  <c r="AO157" i="12" s="1"/>
  <c r="AL157" i="12"/>
  <c r="AL194" i="12"/>
  <c r="AJ53" i="11"/>
  <c r="AK53" i="11"/>
  <c r="AL53" i="11"/>
  <c r="AB55" i="10"/>
  <c r="AE55" i="10" s="1"/>
  <c r="Y55" i="10"/>
  <c r="Z55" i="10" s="1"/>
  <c r="AC55" i="10" s="1"/>
  <c r="AF55" i="10" s="1"/>
  <c r="F33" i="12"/>
  <c r="J28" i="12"/>
  <c r="N28" i="12" s="1"/>
  <c r="O52" i="11"/>
  <c r="AJ155" i="10"/>
  <c r="AM155" i="10" s="1"/>
  <c r="AO155" i="10" s="1"/>
  <c r="AL155" i="10"/>
  <c r="U60" i="12"/>
  <c r="V60" i="12" s="1"/>
  <c r="O55" i="12"/>
  <c r="AK49" i="10"/>
  <c r="AJ49" i="10"/>
  <c r="AL49" i="10"/>
  <c r="F141" i="12"/>
  <c r="F136" i="12"/>
  <c r="F131" i="12"/>
  <c r="H114" i="12"/>
  <c r="F126" i="12"/>
  <c r="F146" i="12"/>
  <c r="AL162" i="12"/>
  <c r="AJ162" i="12"/>
  <c r="AM162" i="12" s="1"/>
  <c r="AO162" i="12" s="1"/>
  <c r="Y179" i="12"/>
  <c r="Z179" i="12" s="1"/>
  <c r="AC179" i="12" s="1"/>
  <c r="AF179" i="12" s="1"/>
  <c r="AB179" i="12"/>
  <c r="AE179" i="12" s="1"/>
  <c r="H102" i="10"/>
  <c r="J102" i="10" s="1"/>
  <c r="N102" i="10" s="1"/>
  <c r="O102" i="10" s="1"/>
  <c r="P102" i="10" s="1"/>
  <c r="J101" i="10"/>
  <c r="Q50" i="11"/>
  <c r="R50" i="11" s="1"/>
  <c r="S50" i="11" s="1"/>
  <c r="T50" i="11" s="1"/>
  <c r="H77" i="11"/>
  <c r="J77" i="11" s="1"/>
  <c r="N77" i="11" s="1"/>
  <c r="J76" i="11"/>
  <c r="N76" i="11" s="1"/>
  <c r="H117" i="10"/>
  <c r="J117" i="10" s="1"/>
  <c r="J116" i="10"/>
  <c r="H147" i="10"/>
  <c r="J147" i="10" s="1"/>
  <c r="J146" i="10"/>
  <c r="F25" i="11"/>
  <c r="F29" i="11"/>
  <c r="J24" i="11"/>
  <c r="N24" i="11" s="1"/>
  <c r="O87" i="12"/>
  <c r="P93" i="12"/>
  <c r="Q93" i="12" s="1"/>
  <c r="Y185" i="12"/>
  <c r="Z185" i="12" s="1"/>
  <c r="AC185" i="12" s="1"/>
  <c r="AF185" i="12" s="1"/>
  <c r="AB185" i="12"/>
  <c r="AE185" i="12" s="1"/>
  <c r="AH185" i="12" s="1"/>
  <c r="AI185" i="12" s="1"/>
  <c r="Y176" i="12"/>
  <c r="Z176" i="12" s="1"/>
  <c r="AC176" i="12" s="1"/>
  <c r="AF176" i="12" s="1"/>
  <c r="AB176" i="12"/>
  <c r="AE176" i="12" s="1"/>
  <c r="AJ189" i="12"/>
  <c r="AL189" i="12"/>
  <c r="AK189" i="12"/>
  <c r="J134" i="11"/>
  <c r="O75" i="12"/>
  <c r="AK75" i="12"/>
  <c r="AK80" i="10"/>
  <c r="AJ80" i="10"/>
  <c r="AL80" i="10"/>
  <c r="Q59" i="12"/>
  <c r="R59" i="12" s="1"/>
  <c r="S59" i="12" s="1"/>
  <c r="T59" i="12" s="1"/>
  <c r="B3" i="10"/>
  <c r="O23" i="10"/>
  <c r="AA170" i="11"/>
  <c r="V170" i="11"/>
  <c r="W170" i="11"/>
  <c r="AC170" i="11"/>
  <c r="AF170" i="11" s="1"/>
  <c r="AB170" i="11"/>
  <c r="AE170" i="11" s="1"/>
  <c r="AD170" i="11"/>
  <c r="AG170" i="11" s="1"/>
  <c r="Y170" i="11"/>
  <c r="X170" i="11"/>
  <c r="Z170" i="11"/>
  <c r="Z159" i="11"/>
  <c r="AB159" i="11"/>
  <c r="AE159" i="11" s="1"/>
  <c r="V159" i="11"/>
  <c r="X159" i="11"/>
  <c r="AC159" i="11"/>
  <c r="AF159" i="11" s="1"/>
  <c r="AA159" i="11"/>
  <c r="Y159" i="11"/>
  <c r="W159" i="11"/>
  <c r="AD159" i="11"/>
  <c r="AG159" i="11" s="1"/>
  <c r="AJ165" i="10"/>
  <c r="AM165" i="10" s="1"/>
  <c r="AO165" i="10" s="1"/>
  <c r="AL165" i="10"/>
  <c r="AJ163" i="11"/>
  <c r="AM163" i="11" s="1"/>
  <c r="AO163" i="11" s="1"/>
  <c r="AL163" i="11"/>
  <c r="AB183" i="12"/>
  <c r="AE183" i="12" s="1"/>
  <c r="Y183" i="12"/>
  <c r="Z183" i="12" s="1"/>
  <c r="AC183" i="12" s="1"/>
  <c r="AF183" i="12" s="1"/>
  <c r="Y182" i="11"/>
  <c r="Z182" i="11" s="1"/>
  <c r="AC182" i="11" s="1"/>
  <c r="AF182" i="11" s="1"/>
  <c r="AB182" i="11"/>
  <c r="AE182" i="11" s="1"/>
  <c r="AH187" i="12"/>
  <c r="AI187" i="12" s="1"/>
  <c r="AA200" i="10"/>
  <c r="AD200" i="10" s="1"/>
  <c r="AG200" i="10" s="1"/>
  <c r="Y189" i="10"/>
  <c r="Z189" i="10" s="1"/>
  <c r="AC189" i="10" s="1"/>
  <c r="AF189" i="10" s="1"/>
  <c r="AB189" i="10"/>
  <c r="AE189" i="10" s="1"/>
  <c r="W67" i="10"/>
  <c r="AB67" i="10" s="1"/>
  <c r="AE67" i="10" s="1"/>
  <c r="AB61" i="10"/>
  <c r="AE61" i="10" s="1"/>
  <c r="Y61" i="10"/>
  <c r="Z61" i="10" s="1"/>
  <c r="AC61" i="10" s="1"/>
  <c r="AF61" i="10" s="1"/>
  <c r="Z166" i="11"/>
  <c r="AC166" i="11" s="1"/>
  <c r="AF166" i="11" s="1"/>
  <c r="U195" i="10"/>
  <c r="V195" i="10" s="1"/>
  <c r="Q87" i="10"/>
  <c r="R87" i="10" s="1"/>
  <c r="S87" i="10" s="1"/>
  <c r="T87" i="10" s="1"/>
  <c r="Q98" i="10"/>
  <c r="R98" i="10" s="1"/>
  <c r="S98" i="10" s="1"/>
  <c r="T98" i="10" s="1"/>
  <c r="AB200" i="10"/>
  <c r="AE200" i="10" s="1"/>
  <c r="AB62" i="10"/>
  <c r="AE62" i="10" s="1"/>
  <c r="Y62" i="10"/>
  <c r="Z62" i="10" s="1"/>
  <c r="AC62" i="10" s="1"/>
  <c r="AF62" i="10" s="1"/>
  <c r="U86" i="10"/>
  <c r="AA86" i="10" s="1"/>
  <c r="AD86" i="10" s="1"/>
  <c r="AG86" i="10" s="1"/>
  <c r="Y85" i="10"/>
  <c r="Z85" i="10" s="1"/>
  <c r="AC85" i="10" s="1"/>
  <c r="AF85" i="10" s="1"/>
  <c r="AB85" i="10"/>
  <c r="AE85" i="10" s="1"/>
  <c r="O97" i="10"/>
  <c r="P97" i="10" s="1"/>
  <c r="AH188" i="10"/>
  <c r="AI188" i="10" s="1"/>
  <c r="X200" i="10"/>
  <c r="Z200" i="10" s="1"/>
  <c r="AC200" i="10" s="1"/>
  <c r="AF200" i="10" s="1"/>
  <c r="Q91" i="10"/>
  <c r="R91" i="10" s="1"/>
  <c r="S91" i="10" s="1"/>
  <c r="T91" i="10" s="1"/>
  <c r="Q92" i="10"/>
  <c r="R92" i="10" s="1"/>
  <c r="S92" i="10" s="1"/>
  <c r="T92" i="10" s="1"/>
  <c r="V194" i="10"/>
  <c r="AB166" i="11"/>
  <c r="AE166" i="11" s="1"/>
  <c r="AA84" i="11"/>
  <c r="AD84" i="11" s="1"/>
  <c r="AG84" i="11" s="1"/>
  <c r="AA192" i="11"/>
  <c r="AD192" i="11" s="1"/>
  <c r="AG192" i="11" s="1"/>
  <c r="W110" i="12"/>
  <c r="Y110" i="12" s="1"/>
  <c r="X110" i="12"/>
  <c r="AA110" i="12"/>
  <c r="AD110" i="12" s="1"/>
  <c r="AG110" i="12" s="1"/>
  <c r="AB110" i="12"/>
  <c r="AE110" i="12" s="1"/>
  <c r="U111" i="12"/>
  <c r="V111" i="12" s="1"/>
  <c r="W111" i="12" s="1"/>
  <c r="L125" i="12"/>
  <c r="M125" i="12" s="1"/>
  <c r="K126" i="12"/>
  <c r="R112" i="12"/>
  <c r="S112" i="12" s="1"/>
  <c r="T112" i="12" s="1"/>
  <c r="W171" i="11"/>
  <c r="Y171" i="11" s="1"/>
  <c r="X171" i="11"/>
  <c r="AA171" i="11"/>
  <c r="AD171" i="11" s="1"/>
  <c r="AG171" i="11" s="1"/>
  <c r="V196" i="11"/>
  <c r="X192" i="11"/>
  <c r="W84" i="11"/>
  <c r="U62" i="11"/>
  <c r="AA62" i="11" s="1"/>
  <c r="AD62" i="11" s="1"/>
  <c r="AG62" i="11" s="1"/>
  <c r="U189" i="11"/>
  <c r="AA189" i="11" s="1"/>
  <c r="AD189" i="11" s="1"/>
  <c r="AG189" i="11" s="1"/>
  <c r="U61" i="11"/>
  <c r="AA61" i="11" s="1"/>
  <c r="AD61" i="11" s="1"/>
  <c r="AG61" i="11" s="1"/>
  <c r="U172" i="11"/>
  <c r="AA172" i="11" s="1"/>
  <c r="AD172" i="11" s="1"/>
  <c r="AG172" i="11" s="1"/>
  <c r="AB192" i="11"/>
  <c r="AE192" i="11" s="1"/>
  <c r="Y192" i="11"/>
  <c r="Z192" i="11" s="1"/>
  <c r="AC192" i="11" s="1"/>
  <c r="AF192" i="11" s="1"/>
  <c r="U190" i="11"/>
  <c r="AA190" i="11" s="1"/>
  <c r="AD190" i="11" s="1"/>
  <c r="AG190" i="11" s="1"/>
  <c r="U65" i="11"/>
  <c r="V65" i="11" s="1"/>
  <c r="U69" i="11"/>
  <c r="V69" i="11" s="1"/>
  <c r="U197" i="11"/>
  <c r="V197" i="11" s="1"/>
  <c r="U193" i="11"/>
  <c r="V193" i="11" s="1"/>
  <c r="U85" i="11"/>
  <c r="AA85" i="11" s="1"/>
  <c r="AD85" i="11" s="1"/>
  <c r="AG85" i="11" s="1"/>
  <c r="W188" i="11"/>
  <c r="X188" i="11"/>
  <c r="X191" i="11"/>
  <c r="W191" i="11"/>
  <c r="Q70" i="11"/>
  <c r="R70" i="11" s="1"/>
  <c r="S70" i="11" s="1"/>
  <c r="T70" i="11" s="1"/>
  <c r="P95" i="11"/>
  <c r="Q95" i="11" s="1"/>
  <c r="X83" i="11"/>
  <c r="W83" i="11"/>
  <c r="O98" i="11"/>
  <c r="O97" i="11"/>
  <c r="AL58" i="11"/>
  <c r="AJ58" i="11"/>
  <c r="AK58" i="11"/>
  <c r="V64" i="11"/>
  <c r="AB186" i="11"/>
  <c r="AE186" i="11" s="1"/>
  <c r="Y186" i="11"/>
  <c r="Z186" i="11" s="1"/>
  <c r="AC186" i="11" s="1"/>
  <c r="AF186" i="11" s="1"/>
  <c r="AH161" i="11"/>
  <c r="AI161" i="11" s="1"/>
  <c r="AH185" i="11"/>
  <c r="AI185" i="11" s="1"/>
  <c r="Q86" i="11"/>
  <c r="R86" i="11" s="1"/>
  <c r="S86" i="11" s="1"/>
  <c r="T86" i="11" s="1"/>
  <c r="AB187" i="11"/>
  <c r="AE187" i="11" s="1"/>
  <c r="Y187" i="11"/>
  <c r="Z187" i="11" s="1"/>
  <c r="AC187" i="11" s="1"/>
  <c r="AF187" i="11" s="1"/>
  <c r="P92" i="11"/>
  <c r="R90" i="11"/>
  <c r="S90" i="11" s="1"/>
  <c r="T90" i="11" s="1"/>
  <c r="R194" i="11"/>
  <c r="S194" i="11" s="1"/>
  <c r="T194" i="11" s="1"/>
  <c r="V68" i="11"/>
  <c r="AA68" i="11"/>
  <c r="AD68" i="11" s="1"/>
  <c r="AG68" i="11" s="1"/>
  <c r="V60" i="11"/>
  <c r="AA60" i="11"/>
  <c r="AD60" i="11" s="1"/>
  <c r="AG60" i="11" s="1"/>
  <c r="R195" i="11"/>
  <c r="S195" i="11" s="1"/>
  <c r="T195" i="11" s="1"/>
  <c r="U89" i="11"/>
  <c r="V89" i="11" s="1"/>
  <c r="X89" i="11" s="1"/>
  <c r="P199" i="11"/>
  <c r="U93" i="11"/>
  <c r="P71" i="11"/>
  <c r="Q71" i="11" s="1"/>
  <c r="X63" i="11"/>
  <c r="W63" i="11"/>
  <c r="P91" i="11"/>
  <c r="R66" i="11"/>
  <c r="S66" i="11" s="1"/>
  <c r="T66" i="11" s="1"/>
  <c r="Q198" i="11"/>
  <c r="R198" i="11" s="1"/>
  <c r="S198" i="11" s="1"/>
  <c r="T198" i="11" s="1"/>
  <c r="P72" i="11"/>
  <c r="Q72" i="11" s="1"/>
  <c r="L99" i="11"/>
  <c r="M99" i="11" s="1"/>
  <c r="N99" i="11" s="1"/>
  <c r="K100" i="11"/>
  <c r="R94" i="11"/>
  <c r="S94" i="11" s="1"/>
  <c r="T94" i="11" s="1"/>
  <c r="P200" i="11"/>
  <c r="Q200" i="11" s="1"/>
  <c r="O96" i="11"/>
  <c r="R67" i="11"/>
  <c r="S67" i="11" s="1"/>
  <c r="T67" i="11" s="1"/>
  <c r="P87" i="11"/>
  <c r="Q87" i="11" s="1"/>
  <c r="Y59" i="11"/>
  <c r="Z59" i="11" s="1"/>
  <c r="AC59" i="11" s="1"/>
  <c r="AF59" i="11" s="1"/>
  <c r="AB59" i="11"/>
  <c r="AE59" i="11" s="1"/>
  <c r="AA188" i="11"/>
  <c r="AD188" i="11" s="1"/>
  <c r="AG188" i="11" s="1"/>
  <c r="Z166" i="10"/>
  <c r="AC166" i="10" s="1"/>
  <c r="AF166" i="10" s="1"/>
  <c r="AH166" i="10" s="1"/>
  <c r="AI166" i="10" s="1"/>
  <c r="AC195" i="2"/>
  <c r="AF195" i="2" s="1"/>
  <c r="AD195" i="2"/>
  <c r="AG195" i="2" s="1"/>
  <c r="Z195" i="2"/>
  <c r="V195" i="2"/>
  <c r="Y195" i="2"/>
  <c r="W195" i="2"/>
  <c r="X195" i="2"/>
  <c r="AA195" i="2"/>
  <c r="AB195" i="2"/>
  <c r="AE195" i="2" s="1"/>
  <c r="AJ126" i="2"/>
  <c r="AL126" i="2"/>
  <c r="O48" i="2"/>
  <c r="AB194" i="2"/>
  <c r="AE194" i="2" s="1"/>
  <c r="Z194" i="2"/>
  <c r="AD194" i="2"/>
  <c r="AG194" i="2" s="1"/>
  <c r="Y194" i="2"/>
  <c r="AC194" i="2"/>
  <c r="AF194" i="2" s="1"/>
  <c r="W194" i="2"/>
  <c r="AA194" i="2"/>
  <c r="V194" i="2"/>
  <c r="X194" i="2"/>
  <c r="AH81" i="2"/>
  <c r="AI81" i="2" s="1"/>
  <c r="AJ189" i="2"/>
  <c r="AL189" i="2"/>
  <c r="AL154" i="2"/>
  <c r="AJ154" i="2"/>
  <c r="AL85" i="2"/>
  <c r="AJ85" i="2"/>
  <c r="AM85" i="2" s="1"/>
  <c r="AH176" i="2"/>
  <c r="AI176" i="2" s="1"/>
  <c r="AH76" i="2"/>
  <c r="AI76" i="2" s="1"/>
  <c r="AL75" i="2"/>
  <c r="AJ75" i="2"/>
  <c r="AM75" i="2" s="1"/>
  <c r="AH155" i="2"/>
  <c r="AI155" i="2" s="1"/>
  <c r="Q158" i="2"/>
  <c r="P158" i="2"/>
  <c r="AB91" i="2"/>
  <c r="AE91" i="2" s="1"/>
  <c r="AA91" i="2"/>
  <c r="V91" i="2"/>
  <c r="Z91" i="2"/>
  <c r="AD91" i="2"/>
  <c r="AG91" i="2" s="1"/>
  <c r="Y91" i="2"/>
  <c r="W91" i="2"/>
  <c r="AC91" i="2"/>
  <c r="AF91" i="2" s="1"/>
  <c r="X91" i="2"/>
  <c r="AC92" i="2"/>
  <c r="AF92" i="2" s="1"/>
  <c r="AD92" i="2"/>
  <c r="AG92" i="2" s="1"/>
  <c r="V92" i="2"/>
  <c r="AA92" i="2"/>
  <c r="X92" i="2"/>
  <c r="Z92" i="2"/>
  <c r="AB92" i="2"/>
  <c r="AE92" i="2" s="1"/>
  <c r="Y92" i="2"/>
  <c r="W92" i="2"/>
  <c r="AL86" i="2"/>
  <c r="AJ86" i="2"/>
  <c r="X151" i="2"/>
  <c r="Z151" i="2" s="1"/>
  <c r="AC151" i="2" s="1"/>
  <c r="AF151" i="2" s="1"/>
  <c r="AH151" i="2" s="1"/>
  <c r="AI151" i="2" s="1"/>
  <c r="AJ80" i="2"/>
  <c r="AL80" i="2"/>
  <c r="W163" i="10"/>
  <c r="AB163" i="10" s="1"/>
  <c r="AE163" i="10" s="1"/>
  <c r="W68" i="10"/>
  <c r="X68" i="10"/>
  <c r="U65" i="10"/>
  <c r="V65" i="10" s="1"/>
  <c r="U198" i="10"/>
  <c r="AA198" i="10" s="1"/>
  <c r="AD198" i="10" s="1"/>
  <c r="AG198" i="10" s="1"/>
  <c r="U89" i="10"/>
  <c r="U168" i="10"/>
  <c r="V168" i="10" s="1"/>
  <c r="W64" i="10"/>
  <c r="X64" i="10"/>
  <c r="L99" i="10"/>
  <c r="M99" i="10" s="1"/>
  <c r="N99" i="10" s="1"/>
  <c r="O99" i="10" s="1"/>
  <c r="P99" i="10" s="1"/>
  <c r="K100" i="10"/>
  <c r="W63" i="10"/>
  <c r="X63" i="10"/>
  <c r="Y187" i="10"/>
  <c r="Z187" i="10" s="1"/>
  <c r="AC187" i="10" s="1"/>
  <c r="AF187" i="10" s="1"/>
  <c r="AB187" i="10"/>
  <c r="AE187" i="10" s="1"/>
  <c r="X83" i="10"/>
  <c r="W83" i="10"/>
  <c r="R70" i="10"/>
  <c r="S70" i="10" s="1"/>
  <c r="T70" i="10" s="1"/>
  <c r="P72" i="10"/>
  <c r="X59" i="10"/>
  <c r="W59" i="10"/>
  <c r="AB58" i="10"/>
  <c r="AE58" i="10" s="1"/>
  <c r="Y58" i="10"/>
  <c r="Z58" i="10" s="1"/>
  <c r="AC58" i="10" s="1"/>
  <c r="AF58" i="10" s="1"/>
  <c r="AB191" i="10"/>
  <c r="AE191" i="10" s="1"/>
  <c r="Y191" i="10"/>
  <c r="Z191" i="10" s="1"/>
  <c r="AC191" i="10" s="1"/>
  <c r="AF191" i="10" s="1"/>
  <c r="V193" i="10"/>
  <c r="Y192" i="10"/>
  <c r="Z192" i="10" s="1"/>
  <c r="AC192" i="10" s="1"/>
  <c r="AF192" i="10" s="1"/>
  <c r="AB192" i="10"/>
  <c r="AE192" i="10" s="1"/>
  <c r="AA64" i="10"/>
  <c r="AD64" i="10" s="1"/>
  <c r="AG64" i="10" s="1"/>
  <c r="O96" i="10"/>
  <c r="X162" i="10"/>
  <c r="W162" i="10"/>
  <c r="R199" i="10"/>
  <c r="S199" i="10" s="1"/>
  <c r="T199" i="10" s="1"/>
  <c r="P95" i="10"/>
  <c r="Q95" i="10" s="1"/>
  <c r="V88" i="10"/>
  <c r="AA88" i="10"/>
  <c r="AD88" i="10" s="1"/>
  <c r="AG88" i="10" s="1"/>
  <c r="R66" i="10"/>
  <c r="S66" i="10" s="1"/>
  <c r="T66" i="10" s="1"/>
  <c r="P175" i="10"/>
  <c r="Q175" i="10" s="1"/>
  <c r="Q94" i="10"/>
  <c r="R94" i="10" s="1"/>
  <c r="S94" i="10" s="1"/>
  <c r="T94" i="10" s="1"/>
  <c r="AB161" i="10"/>
  <c r="AE161" i="10" s="1"/>
  <c r="Y161" i="10"/>
  <c r="Z161" i="10" s="1"/>
  <c r="AC161" i="10" s="1"/>
  <c r="AF161" i="10" s="1"/>
  <c r="AH186" i="10"/>
  <c r="AI186" i="10" s="1"/>
  <c r="Q174" i="10"/>
  <c r="P174" i="10"/>
  <c r="S173" i="10"/>
  <c r="T173" i="10" s="1"/>
  <c r="R173" i="10"/>
  <c r="V84" i="10"/>
  <c r="AA84" i="10"/>
  <c r="AD84" i="10" s="1"/>
  <c r="AG84" i="10" s="1"/>
  <c r="V197" i="10"/>
  <c r="AA197" i="10"/>
  <c r="AD197" i="10" s="1"/>
  <c r="AG197" i="10" s="1"/>
  <c r="Y163" i="10"/>
  <c r="Z163" i="10" s="1"/>
  <c r="AC163" i="10" s="1"/>
  <c r="AF163" i="10" s="1"/>
  <c r="AH163" i="10" s="1"/>
  <c r="AI163" i="10" s="1"/>
  <c r="X196" i="10"/>
  <c r="W196" i="10"/>
  <c r="U93" i="10"/>
  <c r="V93" i="10" s="1"/>
  <c r="U172" i="10"/>
  <c r="V172" i="10" s="1"/>
  <c r="R90" i="10"/>
  <c r="S90" i="10" s="1"/>
  <c r="T90" i="10" s="1"/>
  <c r="V171" i="10"/>
  <c r="U69" i="10"/>
  <c r="V69" i="10" s="1"/>
  <c r="R169" i="10"/>
  <c r="S169" i="10" s="1"/>
  <c r="T169" i="10" s="1"/>
  <c r="P71" i="10"/>
  <c r="Q71" i="10" s="1"/>
  <c r="V167" i="10"/>
  <c r="AA167" i="10"/>
  <c r="AD167" i="10" s="1"/>
  <c r="AG167" i="10" s="1"/>
  <c r="V60" i="10"/>
  <c r="AA60" i="10"/>
  <c r="AD60" i="10" s="1"/>
  <c r="AG60" i="10" s="1"/>
  <c r="AA68" i="10"/>
  <c r="AD68" i="10" s="1"/>
  <c r="AG68" i="10" s="1"/>
  <c r="A96" i="4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M189" i="2"/>
  <c r="AM154" i="2"/>
  <c r="AO154" i="2" s="1"/>
  <c r="R127" i="2"/>
  <c r="S127" i="2" s="1"/>
  <c r="T127" i="2" s="1"/>
  <c r="S177" i="2"/>
  <c r="T177" i="2" s="1"/>
  <c r="S200" i="2"/>
  <c r="T200" i="2" s="1"/>
  <c r="S158" i="2"/>
  <c r="T158" i="2" s="1"/>
  <c r="P180" i="2"/>
  <c r="S182" i="2"/>
  <c r="T182" i="2" s="1"/>
  <c r="S97" i="2"/>
  <c r="T97" i="2" s="1"/>
  <c r="P185" i="2"/>
  <c r="K180" i="2"/>
  <c r="L179" i="2"/>
  <c r="M179" i="2" s="1"/>
  <c r="K50" i="2"/>
  <c r="L49" i="2"/>
  <c r="M49" i="2" s="1"/>
  <c r="R158" i="2"/>
  <c r="P48" i="2"/>
  <c r="I161" i="2"/>
  <c r="J160" i="2"/>
  <c r="N160" i="2" s="1"/>
  <c r="AK160" i="2" s="1"/>
  <c r="O159" i="2"/>
  <c r="U159" i="2" s="1"/>
  <c r="L73" i="2"/>
  <c r="M73" i="2" s="1"/>
  <c r="K74" i="2"/>
  <c r="K156" i="2"/>
  <c r="L155" i="2"/>
  <c r="M155" i="2" s="1"/>
  <c r="L28" i="2"/>
  <c r="M28" i="2" s="1"/>
  <c r="K29" i="2"/>
  <c r="H52" i="2"/>
  <c r="R200" i="2"/>
  <c r="R182" i="2"/>
  <c r="Q180" i="2"/>
  <c r="Q185" i="2"/>
  <c r="R177" i="2"/>
  <c r="Q132" i="2"/>
  <c r="R132" i="2" s="1"/>
  <c r="S132" i="2" s="1"/>
  <c r="T132" i="2" s="1"/>
  <c r="R97" i="2"/>
  <c r="J190" i="2"/>
  <c r="N190" i="2" s="1"/>
  <c r="AK190" i="2" s="1"/>
  <c r="AK194" i="12" l="1"/>
  <c r="AL184" i="10"/>
  <c r="AM199" i="12"/>
  <c r="AL154" i="10"/>
  <c r="AM193" i="12"/>
  <c r="Z73" i="11"/>
  <c r="AC73" i="11" s="1"/>
  <c r="AF73" i="11" s="1"/>
  <c r="AK53" i="10"/>
  <c r="AJ53" i="10"/>
  <c r="AM53" i="10" s="1"/>
  <c r="AL53" i="10"/>
  <c r="AH55" i="10"/>
  <c r="AI55" i="10" s="1"/>
  <c r="AH159" i="11"/>
  <c r="AI159" i="11" s="1"/>
  <c r="J144" i="11"/>
  <c r="AH174" i="11"/>
  <c r="AI174" i="11" s="1"/>
  <c r="W51" i="10"/>
  <c r="X51" i="10"/>
  <c r="AM74" i="10"/>
  <c r="AM200" i="12"/>
  <c r="AM194" i="12"/>
  <c r="W76" i="10"/>
  <c r="X76" i="10"/>
  <c r="AH183" i="12"/>
  <c r="AI183" i="12" s="1"/>
  <c r="AH164" i="12"/>
  <c r="AI164" i="12" s="1"/>
  <c r="AH196" i="12"/>
  <c r="AI196" i="12" s="1"/>
  <c r="AM78" i="10"/>
  <c r="AH177" i="12"/>
  <c r="AI177" i="12" s="1"/>
  <c r="AJ50" i="10"/>
  <c r="AK50" i="10"/>
  <c r="AL50" i="10"/>
  <c r="U50" i="11"/>
  <c r="V50" i="11" s="1"/>
  <c r="X50" i="11" s="1"/>
  <c r="X79" i="11"/>
  <c r="W79" i="11"/>
  <c r="U78" i="12"/>
  <c r="AA78" i="12" s="1"/>
  <c r="AD78" i="12" s="1"/>
  <c r="AG78" i="12" s="1"/>
  <c r="W60" i="12"/>
  <c r="X60" i="12"/>
  <c r="U54" i="12"/>
  <c r="U68" i="12"/>
  <c r="AA68" i="12" s="1"/>
  <c r="AD68" i="12" s="1"/>
  <c r="AG68" i="12" s="1"/>
  <c r="U59" i="12"/>
  <c r="V59" i="12" s="1"/>
  <c r="V64" i="12"/>
  <c r="X64" i="12" s="1"/>
  <c r="V69" i="12"/>
  <c r="W69" i="12" s="1"/>
  <c r="U80" i="11"/>
  <c r="Y67" i="10"/>
  <c r="Z67" i="10" s="1"/>
  <c r="AC67" i="10" s="1"/>
  <c r="AF67" i="10" s="1"/>
  <c r="AH182" i="11"/>
  <c r="AI182" i="11" s="1"/>
  <c r="AH170" i="11"/>
  <c r="AI170" i="11" s="1"/>
  <c r="AM80" i="10"/>
  <c r="AH176" i="12"/>
  <c r="AI176" i="12" s="1"/>
  <c r="J29" i="11"/>
  <c r="N29" i="11" s="1"/>
  <c r="F34" i="11"/>
  <c r="AH179" i="12"/>
  <c r="AI179" i="12" s="1"/>
  <c r="AM49" i="10"/>
  <c r="AA60" i="12"/>
  <c r="AD60" i="12" s="1"/>
  <c r="AG60" i="12" s="1"/>
  <c r="F38" i="12"/>
  <c r="J33" i="12"/>
  <c r="N33" i="12" s="1"/>
  <c r="AJ152" i="12"/>
  <c r="AM152" i="12" s="1"/>
  <c r="AO152" i="12" s="1"/>
  <c r="AL152" i="12"/>
  <c r="AC175" i="12"/>
  <c r="AF175" i="12" s="1"/>
  <c r="X175" i="12"/>
  <c r="V175" i="12"/>
  <c r="AB175" i="12"/>
  <c r="AE175" i="12" s="1"/>
  <c r="W175" i="12"/>
  <c r="Y175" i="12"/>
  <c r="AD175" i="12"/>
  <c r="AG175" i="12" s="1"/>
  <c r="Z175" i="12"/>
  <c r="AA175" i="12"/>
  <c r="W55" i="11"/>
  <c r="X55" i="11"/>
  <c r="AH160" i="11"/>
  <c r="AI160" i="11" s="1"/>
  <c r="Y73" i="12"/>
  <c r="Z73" i="12" s="1"/>
  <c r="AC73" i="12" s="1"/>
  <c r="AF73" i="12" s="1"/>
  <c r="AH73" i="12" s="1"/>
  <c r="AI73" i="12" s="1"/>
  <c r="AB156" i="12"/>
  <c r="AE156" i="12" s="1"/>
  <c r="Y156" i="12"/>
  <c r="Z156" i="12" s="1"/>
  <c r="AC156" i="12" s="1"/>
  <c r="AF156" i="12" s="1"/>
  <c r="AJ159" i="10"/>
  <c r="AM159" i="10" s="1"/>
  <c r="AO159" i="10" s="1"/>
  <c r="AL159" i="10"/>
  <c r="Q51" i="11"/>
  <c r="R51" i="11" s="1"/>
  <c r="S51" i="11" s="1"/>
  <c r="T51" i="11" s="1"/>
  <c r="V170" i="12"/>
  <c r="AC170" i="12"/>
  <c r="AF170" i="12" s="1"/>
  <c r="Z170" i="12"/>
  <c r="X170" i="12"/>
  <c r="W170" i="12"/>
  <c r="Y170" i="12"/>
  <c r="AB170" i="12"/>
  <c r="AE170" i="12" s="1"/>
  <c r="AD170" i="12"/>
  <c r="AG170" i="12" s="1"/>
  <c r="AA170" i="12"/>
  <c r="H100" i="12"/>
  <c r="J99" i="12"/>
  <c r="N99" i="12" s="1"/>
  <c r="O99" i="12" s="1"/>
  <c r="P84" i="12"/>
  <c r="Q84" i="12" s="1"/>
  <c r="R84" i="12" s="1"/>
  <c r="S84" i="12" s="1"/>
  <c r="T84" i="12" s="1"/>
  <c r="U84" i="12" s="1"/>
  <c r="F26" i="12"/>
  <c r="F30" i="12"/>
  <c r="J25" i="12"/>
  <c r="N25" i="12" s="1"/>
  <c r="P83" i="12"/>
  <c r="Q83" i="12" s="1"/>
  <c r="R83" i="12" s="1"/>
  <c r="S83" i="12" s="1"/>
  <c r="T83" i="12" s="1"/>
  <c r="W56" i="10"/>
  <c r="X56" i="10"/>
  <c r="AJ173" i="11"/>
  <c r="AM173" i="11" s="1"/>
  <c r="AO173" i="11" s="1"/>
  <c r="AL173" i="11"/>
  <c r="H146" i="11"/>
  <c r="J145" i="11"/>
  <c r="O66" i="12"/>
  <c r="AH173" i="12"/>
  <c r="AI173" i="12" s="1"/>
  <c r="J124" i="11"/>
  <c r="AH158" i="12"/>
  <c r="AI158" i="12" s="1"/>
  <c r="AL155" i="11"/>
  <c r="AJ155" i="11"/>
  <c r="AM155" i="11" s="1"/>
  <c r="AO155" i="11" s="1"/>
  <c r="H105" i="12"/>
  <c r="J104" i="12"/>
  <c r="N104" i="12" s="1"/>
  <c r="O56" i="12"/>
  <c r="AL165" i="11"/>
  <c r="AJ165" i="11"/>
  <c r="AM165" i="11" s="1"/>
  <c r="AO165" i="11" s="1"/>
  <c r="O51" i="12"/>
  <c r="AA85" i="12"/>
  <c r="AD85" i="12" s="1"/>
  <c r="AG85" i="12" s="1"/>
  <c r="AH165" i="12"/>
  <c r="AI165" i="12" s="1"/>
  <c r="AM181" i="11"/>
  <c r="U79" i="12"/>
  <c r="V79" i="12" s="1"/>
  <c r="Q49" i="12"/>
  <c r="R49" i="12" s="1"/>
  <c r="S49" i="12" s="1"/>
  <c r="T49" i="12" s="1"/>
  <c r="AC77" i="10"/>
  <c r="AF77" i="10" s="1"/>
  <c r="AA77" i="10"/>
  <c r="AD77" i="10"/>
  <c r="AG77" i="10" s="1"/>
  <c r="Y77" i="10"/>
  <c r="W77" i="10"/>
  <c r="Z77" i="10"/>
  <c r="AB77" i="10"/>
  <c r="AE77" i="10" s="1"/>
  <c r="X77" i="10"/>
  <c r="V77" i="10"/>
  <c r="F34" i="10"/>
  <c r="J29" i="10"/>
  <c r="N29" i="10" s="1"/>
  <c r="AK77" i="12"/>
  <c r="O77" i="12"/>
  <c r="W160" i="12"/>
  <c r="AB160" i="12"/>
  <c r="AE160" i="12" s="1"/>
  <c r="X160" i="12"/>
  <c r="Y160" i="12"/>
  <c r="AA160" i="12"/>
  <c r="AC160" i="12"/>
  <c r="AF160" i="12" s="1"/>
  <c r="Z160" i="12"/>
  <c r="V160" i="12"/>
  <c r="AD160" i="12"/>
  <c r="AG160" i="12" s="1"/>
  <c r="O97" i="12"/>
  <c r="P28" i="11"/>
  <c r="AJ198" i="12"/>
  <c r="AM198" i="12" s="1"/>
  <c r="AL198" i="12"/>
  <c r="AK198" i="12"/>
  <c r="P50" i="12"/>
  <c r="Q50" i="12" s="1"/>
  <c r="R50" i="12" s="1"/>
  <c r="S50" i="12" s="1"/>
  <c r="T50" i="12" s="1"/>
  <c r="S81" i="12"/>
  <c r="T81" i="12" s="1"/>
  <c r="R81" i="12"/>
  <c r="AM195" i="12"/>
  <c r="P87" i="12"/>
  <c r="F30" i="11"/>
  <c r="F26" i="11"/>
  <c r="J25" i="11"/>
  <c r="N25" i="11" s="1"/>
  <c r="AM53" i="11"/>
  <c r="AK183" i="11"/>
  <c r="AL183" i="11"/>
  <c r="AJ183" i="11"/>
  <c r="AA155" i="12"/>
  <c r="V155" i="12"/>
  <c r="Y155" i="12"/>
  <c r="AD155" i="12"/>
  <c r="AG155" i="12" s="1"/>
  <c r="Z155" i="12"/>
  <c r="W155" i="12"/>
  <c r="X155" i="12"/>
  <c r="AB155" i="12"/>
  <c r="AE155" i="12" s="1"/>
  <c r="AC155" i="12"/>
  <c r="AF155" i="12" s="1"/>
  <c r="H126" i="10"/>
  <c r="J125" i="10"/>
  <c r="P96" i="12"/>
  <c r="AH175" i="11"/>
  <c r="AI175" i="11" s="1"/>
  <c r="F34" i="12"/>
  <c r="J29" i="12"/>
  <c r="N29" i="12" s="1"/>
  <c r="W64" i="12"/>
  <c r="AB64" i="12" s="1"/>
  <c r="AE64" i="12" s="1"/>
  <c r="AA64" i="12"/>
  <c r="AD64" i="12" s="1"/>
  <c r="AG64" i="12" s="1"/>
  <c r="Y64" i="12"/>
  <c r="Z64" i="12" s="1"/>
  <c r="AC64" i="12" s="1"/>
  <c r="AF64" i="12" s="1"/>
  <c r="AL179" i="11"/>
  <c r="AJ179" i="11"/>
  <c r="AM179" i="11" s="1"/>
  <c r="AO179" i="11" s="1"/>
  <c r="AK179" i="11"/>
  <c r="O28" i="10"/>
  <c r="H129" i="11"/>
  <c r="H133" i="12"/>
  <c r="O67" i="12"/>
  <c r="Q74" i="11"/>
  <c r="R74" i="11" s="1"/>
  <c r="S74" i="11" s="1"/>
  <c r="T74" i="11" s="1"/>
  <c r="AM73" i="10"/>
  <c r="P62" i="12"/>
  <c r="Q62" i="12" s="1"/>
  <c r="R62" i="12" s="1"/>
  <c r="S62" i="12" s="1"/>
  <c r="T62" i="12" s="1"/>
  <c r="U62" i="12" s="1"/>
  <c r="O57" i="12"/>
  <c r="P23" i="12"/>
  <c r="Q23" i="12" s="1"/>
  <c r="R23" i="12" s="1"/>
  <c r="S23" i="12" s="1"/>
  <c r="T23" i="12" s="1"/>
  <c r="U23" i="12" s="1"/>
  <c r="AL170" i="10"/>
  <c r="AJ170" i="10"/>
  <c r="AM170" i="10" s="1"/>
  <c r="AO170" i="10" s="1"/>
  <c r="F88" i="12"/>
  <c r="J88" i="12" s="1"/>
  <c r="N88" i="12" s="1"/>
  <c r="J52" i="12"/>
  <c r="N52" i="12" s="1"/>
  <c r="AH153" i="12"/>
  <c r="AI153" i="12" s="1"/>
  <c r="H101" i="11"/>
  <c r="J100" i="11"/>
  <c r="AM79" i="10"/>
  <c r="X49" i="11"/>
  <c r="W49" i="11"/>
  <c r="AM177" i="11"/>
  <c r="AJ168" i="11"/>
  <c r="AM168" i="11" s="1"/>
  <c r="AO168" i="11" s="1"/>
  <c r="AL168" i="11"/>
  <c r="AB48" i="11"/>
  <c r="AE48" i="11" s="1"/>
  <c r="Y48" i="11"/>
  <c r="Z48" i="11" s="1"/>
  <c r="AC48" i="11" s="1"/>
  <c r="AF48" i="11" s="1"/>
  <c r="F38" i="11"/>
  <c r="J33" i="11"/>
  <c r="N33" i="11" s="1"/>
  <c r="O33" i="11" s="1"/>
  <c r="P89" i="12"/>
  <c r="Q89" i="12" s="1"/>
  <c r="R89" i="12" s="1"/>
  <c r="S89" i="12" s="1"/>
  <c r="T89" i="12" s="1"/>
  <c r="R81" i="11"/>
  <c r="S81" i="11" s="1"/>
  <c r="T81" i="11" s="1"/>
  <c r="AA81" i="11" s="1"/>
  <c r="AD81" i="11" s="1"/>
  <c r="AG81" i="11" s="1"/>
  <c r="AL183" i="10"/>
  <c r="AJ183" i="10"/>
  <c r="AK183" i="10"/>
  <c r="AH54" i="10"/>
  <c r="AI54" i="10" s="1"/>
  <c r="J143" i="11"/>
  <c r="P103" i="12"/>
  <c r="Q103" i="12" s="1"/>
  <c r="R103" i="12" s="1"/>
  <c r="S103" i="12" s="1"/>
  <c r="T103" i="12" s="1"/>
  <c r="Z58" i="12"/>
  <c r="AC58" i="12" s="1"/>
  <c r="AF58" i="12" s="1"/>
  <c r="AH58" i="12" s="1"/>
  <c r="AI58" i="12" s="1"/>
  <c r="AM78" i="11"/>
  <c r="AL187" i="12"/>
  <c r="AJ187" i="12"/>
  <c r="AK187" i="12"/>
  <c r="AJ183" i="12"/>
  <c r="AL183" i="12"/>
  <c r="AK183" i="12"/>
  <c r="AL159" i="11"/>
  <c r="AJ159" i="11"/>
  <c r="AM159" i="11" s="1"/>
  <c r="AO159" i="11" s="1"/>
  <c r="AL185" i="12"/>
  <c r="AJ185" i="12"/>
  <c r="AM185" i="12" s="1"/>
  <c r="AO185" i="12" s="1"/>
  <c r="AK185" i="12"/>
  <c r="R93" i="12"/>
  <c r="S93" i="12" s="1"/>
  <c r="T93" i="12" s="1"/>
  <c r="O76" i="11"/>
  <c r="AK76" i="11"/>
  <c r="P52" i="11"/>
  <c r="Q52" i="11" s="1"/>
  <c r="R52" i="11" s="1"/>
  <c r="S52" i="11" s="1"/>
  <c r="T52" i="11" s="1"/>
  <c r="U52" i="11" s="1"/>
  <c r="AJ55" i="10"/>
  <c r="AL55" i="10"/>
  <c r="AK55" i="10"/>
  <c r="X69" i="12"/>
  <c r="Y69" i="12"/>
  <c r="AA69" i="12"/>
  <c r="AD69" i="12" s="1"/>
  <c r="AG69" i="12" s="1"/>
  <c r="AB69" i="12"/>
  <c r="AE69" i="12" s="1"/>
  <c r="U63" i="12"/>
  <c r="V63" i="12" s="1"/>
  <c r="X63" i="12" s="1"/>
  <c r="AL169" i="11"/>
  <c r="AJ169" i="11"/>
  <c r="AM169" i="11" s="1"/>
  <c r="AO169" i="11" s="1"/>
  <c r="H106" i="11"/>
  <c r="J105" i="11"/>
  <c r="U56" i="11"/>
  <c r="P70" i="12"/>
  <c r="Q70" i="12" s="1"/>
  <c r="R70" i="12" s="1"/>
  <c r="S70" i="12" s="1"/>
  <c r="T70" i="12" s="1"/>
  <c r="U70" i="12" s="1"/>
  <c r="J133" i="12"/>
  <c r="AA80" i="12"/>
  <c r="AD80" i="12" s="1"/>
  <c r="AG80" i="12" s="1"/>
  <c r="V80" i="12"/>
  <c r="X80" i="12" s="1"/>
  <c r="AJ167" i="12"/>
  <c r="AM167" i="12" s="1"/>
  <c r="AO167" i="12" s="1"/>
  <c r="AL167" i="12"/>
  <c r="X154" i="12"/>
  <c r="AC154" i="12"/>
  <c r="AF154" i="12" s="1"/>
  <c r="Y154" i="12"/>
  <c r="V154" i="12"/>
  <c r="W154" i="12"/>
  <c r="AB154" i="12"/>
  <c r="AE154" i="12" s="1"/>
  <c r="AD154" i="12"/>
  <c r="AG154" i="12" s="1"/>
  <c r="Z154" i="12"/>
  <c r="AA154" i="12"/>
  <c r="W174" i="12"/>
  <c r="AA174" i="12"/>
  <c r="V174" i="12"/>
  <c r="AD174" i="12"/>
  <c r="AG174" i="12" s="1"/>
  <c r="AB174" i="12"/>
  <c r="AE174" i="12" s="1"/>
  <c r="Z174" i="12"/>
  <c r="AC174" i="12"/>
  <c r="AF174" i="12" s="1"/>
  <c r="Y174" i="12"/>
  <c r="X174" i="12"/>
  <c r="Y172" i="12"/>
  <c r="Z172" i="12" s="1"/>
  <c r="AC172" i="12" s="1"/>
  <c r="AF172" i="12" s="1"/>
  <c r="AB172" i="12"/>
  <c r="AE172" i="12" s="1"/>
  <c r="P90" i="12"/>
  <c r="Q90" i="12" s="1"/>
  <c r="R90" i="12" s="1"/>
  <c r="S90" i="12" s="1"/>
  <c r="T90" i="12" s="1"/>
  <c r="F38" i="10"/>
  <c r="J33" i="10"/>
  <c r="N33" i="10" s="1"/>
  <c r="O33" i="10" s="1"/>
  <c r="H126" i="11"/>
  <c r="J125" i="11"/>
  <c r="O91" i="12"/>
  <c r="P74" i="12"/>
  <c r="Q74" i="12" s="1"/>
  <c r="R74" i="12" s="1"/>
  <c r="S74" i="12" s="1"/>
  <c r="T74" i="12" s="1"/>
  <c r="U74" i="12" s="1"/>
  <c r="AL164" i="12"/>
  <c r="AJ164" i="12"/>
  <c r="AM164" i="12" s="1"/>
  <c r="AO164" i="12" s="1"/>
  <c r="AJ196" i="12"/>
  <c r="AL196" i="12"/>
  <c r="AK196" i="12"/>
  <c r="Z169" i="12"/>
  <c r="Y169" i="12"/>
  <c r="V169" i="12"/>
  <c r="AC169" i="12"/>
  <c r="AF169" i="12" s="1"/>
  <c r="AD169" i="12"/>
  <c r="AG169" i="12" s="1"/>
  <c r="W169" i="12"/>
  <c r="AB169" i="12"/>
  <c r="AE169" i="12" s="1"/>
  <c r="X169" i="12"/>
  <c r="AA169" i="12"/>
  <c r="Q82" i="11"/>
  <c r="R82" i="11"/>
  <c r="S82" i="11" s="1"/>
  <c r="T82" i="11" s="1"/>
  <c r="X52" i="10"/>
  <c r="W52" i="10"/>
  <c r="Q113" i="12"/>
  <c r="R113" i="12" s="1"/>
  <c r="S113" i="12" s="1"/>
  <c r="T113" i="12" s="1"/>
  <c r="O24" i="10"/>
  <c r="P65" i="12"/>
  <c r="Q65" i="12" s="1"/>
  <c r="R65" i="12" s="1"/>
  <c r="S65" i="12" s="1"/>
  <c r="T65" i="12" s="1"/>
  <c r="U65" i="12" s="1"/>
  <c r="AJ166" i="12"/>
  <c r="AL166" i="12"/>
  <c r="AK166" i="12"/>
  <c r="AL174" i="11"/>
  <c r="AJ174" i="11"/>
  <c r="AM174" i="11" s="1"/>
  <c r="AO174" i="11" s="1"/>
  <c r="O71" i="12"/>
  <c r="P61" i="12"/>
  <c r="Q61" i="12" s="1"/>
  <c r="R61" i="12" s="1"/>
  <c r="S61" i="12" s="1"/>
  <c r="T61" i="12" s="1"/>
  <c r="U61" i="12" s="1"/>
  <c r="AH168" i="12"/>
  <c r="AI168" i="12" s="1"/>
  <c r="H120" i="12"/>
  <c r="J119" i="12"/>
  <c r="N119" i="12" s="1"/>
  <c r="O119" i="12" s="1"/>
  <c r="P95" i="12"/>
  <c r="Q95" i="12" s="1"/>
  <c r="R95" i="12" s="1"/>
  <c r="S95" i="12" s="1"/>
  <c r="T95" i="12" s="1"/>
  <c r="U95" i="12" s="1"/>
  <c r="J128" i="11"/>
  <c r="Z48" i="12"/>
  <c r="AC48" i="12" s="1"/>
  <c r="AF48" i="12" s="1"/>
  <c r="Z53" i="12"/>
  <c r="AC53" i="12" s="1"/>
  <c r="AF53" i="12" s="1"/>
  <c r="AH53" i="12" s="1"/>
  <c r="AI53" i="12" s="1"/>
  <c r="Q109" i="12"/>
  <c r="R109" i="12" s="1"/>
  <c r="S109" i="12" s="1"/>
  <c r="T109" i="12" s="1"/>
  <c r="P23" i="10"/>
  <c r="P75" i="12"/>
  <c r="Q75" i="12"/>
  <c r="U75" i="12"/>
  <c r="AM189" i="12"/>
  <c r="AN186" i="10"/>
  <c r="AN181" i="10"/>
  <c r="AO181" i="10" s="1"/>
  <c r="AN191" i="10"/>
  <c r="AN196" i="10"/>
  <c r="AN176" i="10"/>
  <c r="AO176" i="10" s="1"/>
  <c r="O24" i="11"/>
  <c r="AK24" i="11"/>
  <c r="AK77" i="11"/>
  <c r="O77" i="11"/>
  <c r="Q102" i="10"/>
  <c r="R102" i="10"/>
  <c r="S102" i="10" s="1"/>
  <c r="T102" i="10" s="1"/>
  <c r="H115" i="12"/>
  <c r="J114" i="12"/>
  <c r="N114" i="12" s="1"/>
  <c r="O114" i="12" s="1"/>
  <c r="P55" i="12"/>
  <c r="Q55" i="12" s="1"/>
  <c r="R55" i="12" s="1"/>
  <c r="S55" i="12" s="1"/>
  <c r="T55" i="12" s="1"/>
  <c r="U55" i="12" s="1"/>
  <c r="O28" i="12"/>
  <c r="H116" i="11"/>
  <c r="J115" i="11"/>
  <c r="AJ163" i="12"/>
  <c r="AM163" i="12" s="1"/>
  <c r="AO163" i="12" s="1"/>
  <c r="AL163" i="12"/>
  <c r="P86" i="12"/>
  <c r="Q86" i="12" s="1"/>
  <c r="R86" i="12" s="1"/>
  <c r="S86" i="12" s="1"/>
  <c r="T86" i="12" s="1"/>
  <c r="U86" i="12" s="1"/>
  <c r="P118" i="12"/>
  <c r="P23" i="11"/>
  <c r="P75" i="11"/>
  <c r="U75" i="11"/>
  <c r="U82" i="12"/>
  <c r="P82" i="12"/>
  <c r="Q82" i="12"/>
  <c r="U57" i="11"/>
  <c r="O24" i="12"/>
  <c r="AK24" i="12"/>
  <c r="U98" i="12"/>
  <c r="AA98" i="12" s="1"/>
  <c r="AD98" i="12" s="1"/>
  <c r="AG98" i="12" s="1"/>
  <c r="H136" i="11"/>
  <c r="J135" i="11"/>
  <c r="H141" i="11"/>
  <c r="J140" i="11"/>
  <c r="AM188" i="12"/>
  <c r="AM191" i="12"/>
  <c r="AA79" i="11"/>
  <c r="AD79" i="11" s="1"/>
  <c r="AG79" i="11" s="1"/>
  <c r="H121" i="11"/>
  <c r="J120" i="11"/>
  <c r="X75" i="10"/>
  <c r="W75" i="10"/>
  <c r="V85" i="12"/>
  <c r="X85" i="12" s="1"/>
  <c r="X184" i="11"/>
  <c r="W184" i="11"/>
  <c r="P92" i="12"/>
  <c r="Q92" i="12" s="1"/>
  <c r="R92" i="12" s="1"/>
  <c r="S92" i="12" s="1"/>
  <c r="T92" i="12" s="1"/>
  <c r="U92" i="12" s="1"/>
  <c r="F30" i="10"/>
  <c r="F26" i="10"/>
  <c r="J25" i="10"/>
  <c r="N25" i="10" s="1"/>
  <c r="O25" i="10" s="1"/>
  <c r="P25" i="10" s="1"/>
  <c r="AK76" i="12"/>
  <c r="O76" i="12"/>
  <c r="AJ154" i="11"/>
  <c r="AM154" i="11" s="1"/>
  <c r="AO154" i="11" s="1"/>
  <c r="AP151" i="11" s="1"/>
  <c r="AL154" i="11"/>
  <c r="Y54" i="11"/>
  <c r="Z54" i="11" s="1"/>
  <c r="AC54" i="11" s="1"/>
  <c r="AF54" i="11" s="1"/>
  <c r="AB54" i="11"/>
  <c r="AE54" i="11" s="1"/>
  <c r="P94" i="12"/>
  <c r="Q94" i="12" s="1"/>
  <c r="R94" i="12" s="1"/>
  <c r="S94" i="12" s="1"/>
  <c r="T94" i="12" s="1"/>
  <c r="U94" i="12" s="1"/>
  <c r="O72" i="12"/>
  <c r="AD159" i="12"/>
  <c r="AG159" i="12" s="1"/>
  <c r="Z159" i="12"/>
  <c r="AC159" i="12"/>
  <c r="AF159" i="12" s="1"/>
  <c r="Y159" i="12"/>
  <c r="AB159" i="12"/>
  <c r="AE159" i="12" s="1"/>
  <c r="X159" i="12"/>
  <c r="V159" i="12"/>
  <c r="W159" i="12"/>
  <c r="AA159" i="12"/>
  <c r="AL177" i="12"/>
  <c r="AJ177" i="12"/>
  <c r="AK177" i="12"/>
  <c r="R88" i="11"/>
  <c r="S88" i="11" s="1"/>
  <c r="T88" i="11" s="1"/>
  <c r="AL160" i="10"/>
  <c r="AJ160" i="10"/>
  <c r="AM160" i="10" s="1"/>
  <c r="AO160" i="10" s="1"/>
  <c r="U108" i="12"/>
  <c r="V108" i="12" s="1"/>
  <c r="W108" i="12" s="1"/>
  <c r="AH48" i="12"/>
  <c r="AI48" i="12" s="1"/>
  <c r="AH73" i="11"/>
  <c r="AI73" i="11" s="1"/>
  <c r="Z171" i="11"/>
  <c r="AC171" i="11" s="1"/>
  <c r="AF171" i="11" s="1"/>
  <c r="AH61" i="10"/>
  <c r="AI61" i="10" s="1"/>
  <c r="AJ61" i="10" s="1"/>
  <c r="AH195" i="2"/>
  <c r="AI195" i="2" s="1"/>
  <c r="V86" i="10"/>
  <c r="X86" i="10" s="1"/>
  <c r="AH67" i="10"/>
  <c r="AI67" i="10" s="1"/>
  <c r="AK67" i="10" s="1"/>
  <c r="AH189" i="10"/>
  <c r="AI189" i="10" s="1"/>
  <c r="AH85" i="10"/>
  <c r="AI85" i="10" s="1"/>
  <c r="AK85" i="10" s="1"/>
  <c r="AH200" i="10"/>
  <c r="AI200" i="10" s="1"/>
  <c r="AK200" i="10" s="1"/>
  <c r="U91" i="10"/>
  <c r="AA91" i="10" s="1"/>
  <c r="AD91" i="10" s="1"/>
  <c r="AG91" i="10" s="1"/>
  <c r="W195" i="10"/>
  <c r="X195" i="10"/>
  <c r="AB171" i="11"/>
  <c r="AE171" i="11" s="1"/>
  <c r="Z110" i="12"/>
  <c r="AC110" i="12" s="1"/>
  <c r="AF110" i="12" s="1"/>
  <c r="AH110" i="12" s="1"/>
  <c r="AI110" i="12" s="1"/>
  <c r="AK110" i="12" s="1"/>
  <c r="U92" i="10"/>
  <c r="V92" i="10" s="1"/>
  <c r="X92" i="10" s="1"/>
  <c r="U98" i="10"/>
  <c r="V98" i="10" s="1"/>
  <c r="AA195" i="10"/>
  <c r="AD195" i="10" s="1"/>
  <c r="AG195" i="10" s="1"/>
  <c r="AL61" i="10"/>
  <c r="Q99" i="10"/>
  <c r="R99" i="10" s="1"/>
  <c r="S99" i="10" s="1"/>
  <c r="T99" i="10" s="1"/>
  <c r="X194" i="10"/>
  <c r="W194" i="10"/>
  <c r="AJ85" i="10"/>
  <c r="AJ200" i="10"/>
  <c r="U87" i="10"/>
  <c r="V87" i="10" s="1"/>
  <c r="AH166" i="11"/>
  <c r="AI166" i="11" s="1"/>
  <c r="AL166" i="11" s="1"/>
  <c r="Q97" i="10"/>
  <c r="R97" i="10" s="1"/>
  <c r="S97" i="10" s="1"/>
  <c r="T97" i="10" s="1"/>
  <c r="AH62" i="10"/>
  <c r="AI62" i="10" s="1"/>
  <c r="AL188" i="10"/>
  <c r="AJ188" i="10"/>
  <c r="AK188" i="10"/>
  <c r="AH59" i="11"/>
  <c r="AI59" i="11" s="1"/>
  <c r="AJ59" i="11" s="1"/>
  <c r="AH186" i="11"/>
  <c r="AI186" i="11" s="1"/>
  <c r="AJ186" i="11" s="1"/>
  <c r="AH192" i="11"/>
  <c r="AI192" i="11" s="1"/>
  <c r="AK192" i="11" s="1"/>
  <c r="AA111" i="12"/>
  <c r="AD111" i="12" s="1"/>
  <c r="AG111" i="12" s="1"/>
  <c r="U112" i="12"/>
  <c r="AA112" i="12" s="1"/>
  <c r="AD112" i="12" s="1"/>
  <c r="AG112" i="12" s="1"/>
  <c r="AB111" i="12"/>
  <c r="AE111" i="12" s="1"/>
  <c r="Y111" i="12"/>
  <c r="X111" i="12"/>
  <c r="K127" i="12"/>
  <c r="L126" i="12"/>
  <c r="M126" i="12" s="1"/>
  <c r="AA89" i="11"/>
  <c r="AD89" i="11" s="1"/>
  <c r="AG89" i="11" s="1"/>
  <c r="AH187" i="11"/>
  <c r="AI187" i="11" s="1"/>
  <c r="AK187" i="11" s="1"/>
  <c r="AA197" i="11"/>
  <c r="AD197" i="11" s="1"/>
  <c r="AG197" i="11" s="1"/>
  <c r="V172" i="11"/>
  <c r="X172" i="11" s="1"/>
  <c r="V189" i="11"/>
  <c r="W196" i="11"/>
  <c r="X196" i="11"/>
  <c r="AK81" i="11"/>
  <c r="AB84" i="11"/>
  <c r="AE84" i="11" s="1"/>
  <c r="Y84" i="11"/>
  <c r="Z84" i="11" s="1"/>
  <c r="AC84" i="11" s="1"/>
  <c r="AF84" i="11" s="1"/>
  <c r="V61" i="11"/>
  <c r="X61" i="11" s="1"/>
  <c r="V62" i="11"/>
  <c r="X62" i="11" s="1"/>
  <c r="AA65" i="11"/>
  <c r="AD65" i="11" s="1"/>
  <c r="AG65" i="11" s="1"/>
  <c r="X197" i="11"/>
  <c r="W197" i="11"/>
  <c r="U66" i="11"/>
  <c r="V66" i="11" s="1"/>
  <c r="X66" i="11" s="1"/>
  <c r="U70" i="11"/>
  <c r="V70" i="11" s="1"/>
  <c r="X69" i="11"/>
  <c r="W69" i="11"/>
  <c r="U198" i="11"/>
  <c r="V198" i="11" s="1"/>
  <c r="U86" i="11"/>
  <c r="AA86" i="11" s="1"/>
  <c r="AD86" i="11" s="1"/>
  <c r="AG86" i="11" s="1"/>
  <c r="X193" i="11"/>
  <c r="W193" i="11"/>
  <c r="W65" i="11"/>
  <c r="X65" i="11"/>
  <c r="R87" i="11"/>
  <c r="S87" i="11" s="1"/>
  <c r="T87" i="11" s="1"/>
  <c r="Q91" i="11"/>
  <c r="R91" i="11" s="1"/>
  <c r="S91" i="11" s="1"/>
  <c r="T91" i="11" s="1"/>
  <c r="Y63" i="11"/>
  <c r="Z63" i="11" s="1"/>
  <c r="AC63" i="11" s="1"/>
  <c r="AF63" i="11" s="1"/>
  <c r="AB63" i="11"/>
  <c r="AE63" i="11" s="1"/>
  <c r="W89" i="11"/>
  <c r="AL161" i="11"/>
  <c r="AJ161" i="11"/>
  <c r="AK161" i="11"/>
  <c r="Y188" i="11"/>
  <c r="Z188" i="11" s="1"/>
  <c r="AC188" i="11" s="1"/>
  <c r="AF188" i="11" s="1"/>
  <c r="AB188" i="11"/>
  <c r="AE188" i="11" s="1"/>
  <c r="V85" i="11"/>
  <c r="AA193" i="11"/>
  <c r="AD193" i="11" s="1"/>
  <c r="AG193" i="11" s="1"/>
  <c r="V190" i="11"/>
  <c r="W61" i="11"/>
  <c r="U67" i="11"/>
  <c r="V67" i="11" s="1"/>
  <c r="P96" i="11"/>
  <c r="Q96" i="11" s="1"/>
  <c r="U94" i="11"/>
  <c r="AA94" i="11" s="1"/>
  <c r="AD94" i="11" s="1"/>
  <c r="AG94" i="11" s="1"/>
  <c r="U195" i="11"/>
  <c r="V195" i="11" s="1"/>
  <c r="X68" i="11"/>
  <c r="W68" i="11"/>
  <c r="U194" i="11"/>
  <c r="AA194" i="11" s="1"/>
  <c r="AD194" i="11" s="1"/>
  <c r="AG194" i="11" s="1"/>
  <c r="AJ187" i="11"/>
  <c r="AL187" i="11"/>
  <c r="P98" i="11"/>
  <c r="Q98" i="11" s="1"/>
  <c r="R200" i="11"/>
  <c r="S200" i="11" s="1"/>
  <c r="T200" i="11" s="1"/>
  <c r="K101" i="11"/>
  <c r="L100" i="11"/>
  <c r="M100" i="11" s="1"/>
  <c r="N100" i="11" s="1"/>
  <c r="R72" i="11"/>
  <c r="S72" i="11" s="1"/>
  <c r="T72" i="11" s="1"/>
  <c r="R71" i="11"/>
  <c r="S71" i="11" s="1"/>
  <c r="T71" i="11" s="1"/>
  <c r="AA93" i="11"/>
  <c r="AD93" i="11" s="1"/>
  <c r="AG93" i="11" s="1"/>
  <c r="AM58" i="11"/>
  <c r="P97" i="11"/>
  <c r="Q97" i="11" s="1"/>
  <c r="AB83" i="11"/>
  <c r="AE83" i="11" s="1"/>
  <c r="Y83" i="11"/>
  <c r="Z83" i="11" s="1"/>
  <c r="AC83" i="11" s="1"/>
  <c r="AF83" i="11" s="1"/>
  <c r="R95" i="11"/>
  <c r="S95" i="11" s="1"/>
  <c r="T95" i="11" s="1"/>
  <c r="Y191" i="11"/>
  <c r="Z191" i="11" s="1"/>
  <c r="AC191" i="11" s="1"/>
  <c r="AF191" i="11" s="1"/>
  <c r="AB191" i="11"/>
  <c r="AE191" i="11" s="1"/>
  <c r="AA69" i="11"/>
  <c r="AD69" i="11" s="1"/>
  <c r="AG69" i="11" s="1"/>
  <c r="O99" i="11"/>
  <c r="V93" i="11"/>
  <c r="Q199" i="11"/>
  <c r="R199" i="11" s="1"/>
  <c r="S199" i="11" s="1"/>
  <c r="T199" i="11" s="1"/>
  <c r="X60" i="11"/>
  <c r="W60" i="11"/>
  <c r="U90" i="11"/>
  <c r="AA90" i="11" s="1"/>
  <c r="AD90" i="11" s="1"/>
  <c r="AG90" i="11" s="1"/>
  <c r="Q92" i="11"/>
  <c r="R92" i="11" s="1"/>
  <c r="S92" i="11" s="1"/>
  <c r="T92" i="11" s="1"/>
  <c r="AL185" i="11"/>
  <c r="AJ185" i="11"/>
  <c r="AM185" i="11" s="1"/>
  <c r="AO185" i="11" s="1"/>
  <c r="AK185" i="11"/>
  <c r="AK186" i="11"/>
  <c r="X64" i="11"/>
  <c r="W64" i="11"/>
  <c r="AJ192" i="11"/>
  <c r="AL192" i="11"/>
  <c r="AH161" i="10"/>
  <c r="AI161" i="10" s="1"/>
  <c r="AJ161" i="10" s="1"/>
  <c r="AJ151" i="2"/>
  <c r="AL151" i="2"/>
  <c r="AK151" i="2"/>
  <c r="AJ76" i="2"/>
  <c r="AL76" i="2"/>
  <c r="AJ176" i="2"/>
  <c r="AL176" i="2"/>
  <c r="AB200" i="2"/>
  <c r="AE200" i="2" s="1"/>
  <c r="AC200" i="2"/>
  <c r="AF200" i="2" s="1"/>
  <c r="Y200" i="2"/>
  <c r="W200" i="2"/>
  <c r="X200" i="2"/>
  <c r="V200" i="2"/>
  <c r="AA200" i="2"/>
  <c r="Z200" i="2"/>
  <c r="AD200" i="2"/>
  <c r="AG200" i="2" s="1"/>
  <c r="AH91" i="2"/>
  <c r="AI91" i="2" s="1"/>
  <c r="AH194" i="2"/>
  <c r="AI194" i="2" s="1"/>
  <c r="AA132" i="2"/>
  <c r="W132" i="2"/>
  <c r="AB132" i="2"/>
  <c r="AE132" i="2" s="1"/>
  <c r="Z132" i="2"/>
  <c r="V132" i="2"/>
  <c r="AC132" i="2"/>
  <c r="AF132" i="2" s="1"/>
  <c r="Y132" i="2"/>
  <c r="X132" i="2"/>
  <c r="AD132" i="2"/>
  <c r="AG132" i="2" s="1"/>
  <c r="AB182" i="2"/>
  <c r="AE182" i="2" s="1"/>
  <c r="AD182" i="2"/>
  <c r="AG182" i="2" s="1"/>
  <c r="Y182" i="2"/>
  <c r="AC182" i="2"/>
  <c r="AF182" i="2" s="1"/>
  <c r="W182" i="2"/>
  <c r="AA182" i="2"/>
  <c r="V182" i="2"/>
  <c r="Z182" i="2"/>
  <c r="X182" i="2"/>
  <c r="AC177" i="2"/>
  <c r="AF177" i="2" s="1"/>
  <c r="W177" i="2"/>
  <c r="AD177" i="2"/>
  <c r="AG177" i="2" s="1"/>
  <c r="V177" i="2"/>
  <c r="AA177" i="2"/>
  <c r="Z177" i="2"/>
  <c r="X177" i="2"/>
  <c r="Y177" i="2"/>
  <c r="AB177" i="2"/>
  <c r="AE177" i="2" s="1"/>
  <c r="AH92" i="2"/>
  <c r="AI92" i="2" s="1"/>
  <c r="AC158" i="2"/>
  <c r="AF158" i="2" s="1"/>
  <c r="Y158" i="2"/>
  <c r="V158" i="2"/>
  <c r="AD158" i="2"/>
  <c r="AG158" i="2" s="1"/>
  <c r="AB158" i="2"/>
  <c r="AE158" i="2" s="1"/>
  <c r="Z158" i="2"/>
  <c r="X158" i="2"/>
  <c r="AA158" i="2"/>
  <c r="W158" i="2"/>
  <c r="AJ155" i="2"/>
  <c r="AL155" i="2"/>
  <c r="AB97" i="2"/>
  <c r="AE97" i="2" s="1"/>
  <c r="Y97" i="2"/>
  <c r="AD97" i="2"/>
  <c r="AG97" i="2" s="1"/>
  <c r="Z97" i="2"/>
  <c r="AA97" i="2"/>
  <c r="AC97" i="2"/>
  <c r="AF97" i="2" s="1"/>
  <c r="V97" i="2"/>
  <c r="W97" i="2"/>
  <c r="X97" i="2"/>
  <c r="AC127" i="2"/>
  <c r="AF127" i="2" s="1"/>
  <c r="W127" i="2"/>
  <c r="AB127" i="2"/>
  <c r="AE127" i="2" s="1"/>
  <c r="Z127" i="2"/>
  <c r="AA127" i="2"/>
  <c r="V127" i="2"/>
  <c r="Y127" i="2"/>
  <c r="X127" i="2"/>
  <c r="AD127" i="2"/>
  <c r="AG127" i="2" s="1"/>
  <c r="AJ81" i="2"/>
  <c r="AL81" i="2"/>
  <c r="AJ195" i="2"/>
  <c r="AL195" i="2"/>
  <c r="AA69" i="10"/>
  <c r="AD69" i="10" s="1"/>
  <c r="AG69" i="10" s="1"/>
  <c r="U169" i="10"/>
  <c r="U90" i="10"/>
  <c r="U66" i="10"/>
  <c r="X168" i="10"/>
  <c r="W168" i="10"/>
  <c r="X65" i="10"/>
  <c r="W65" i="10"/>
  <c r="W93" i="10"/>
  <c r="X93" i="10"/>
  <c r="W69" i="10"/>
  <c r="X69" i="10"/>
  <c r="X172" i="10"/>
  <c r="W172" i="10"/>
  <c r="AJ163" i="10"/>
  <c r="AL163" i="10"/>
  <c r="AK163" i="10"/>
  <c r="U94" i="10"/>
  <c r="V94" i="10" s="1"/>
  <c r="W94" i="10" s="1"/>
  <c r="R95" i="10"/>
  <c r="S95" i="10" s="1"/>
  <c r="T95" i="10" s="1"/>
  <c r="P96" i="10"/>
  <c r="Q96" i="10" s="1"/>
  <c r="AL166" i="10"/>
  <c r="AJ166" i="10"/>
  <c r="AK166" i="10"/>
  <c r="AH191" i="10"/>
  <c r="AI191" i="10" s="1"/>
  <c r="Y63" i="10"/>
  <c r="Z63" i="10" s="1"/>
  <c r="AC63" i="10" s="1"/>
  <c r="AF63" i="10" s="1"/>
  <c r="AB63" i="10"/>
  <c r="AE63" i="10" s="1"/>
  <c r="Y64" i="10"/>
  <c r="Z64" i="10" s="1"/>
  <c r="AC64" i="10" s="1"/>
  <c r="AF64" i="10" s="1"/>
  <c r="AB64" i="10"/>
  <c r="AE64" i="10" s="1"/>
  <c r="V198" i="10"/>
  <c r="AA65" i="10"/>
  <c r="AD65" i="10" s="1"/>
  <c r="AG65" i="10" s="1"/>
  <c r="Y68" i="10"/>
  <c r="Z68" i="10" s="1"/>
  <c r="AC68" i="10" s="1"/>
  <c r="AF68" i="10" s="1"/>
  <c r="AB68" i="10"/>
  <c r="AE68" i="10" s="1"/>
  <c r="W167" i="10"/>
  <c r="X167" i="10"/>
  <c r="R71" i="10"/>
  <c r="S71" i="10" s="1"/>
  <c r="T71" i="10" s="1"/>
  <c r="AA172" i="10"/>
  <c r="AD172" i="10" s="1"/>
  <c r="AG172" i="10" s="1"/>
  <c r="X84" i="10"/>
  <c r="W84" i="10"/>
  <c r="AJ186" i="10"/>
  <c r="AL186" i="10"/>
  <c r="AK186" i="10"/>
  <c r="Y162" i="10"/>
  <c r="Z162" i="10" s="1"/>
  <c r="AC162" i="10" s="1"/>
  <c r="AF162" i="10" s="1"/>
  <c r="AB162" i="10"/>
  <c r="AE162" i="10" s="1"/>
  <c r="X193" i="10"/>
  <c r="W193" i="10"/>
  <c r="U70" i="10"/>
  <c r="AH187" i="10"/>
  <c r="AI187" i="10" s="1"/>
  <c r="K101" i="10"/>
  <c r="L100" i="10"/>
  <c r="M100" i="10" s="1"/>
  <c r="N100" i="10" s="1"/>
  <c r="AA93" i="10"/>
  <c r="AD93" i="10" s="1"/>
  <c r="AG93" i="10" s="1"/>
  <c r="Y196" i="10"/>
  <c r="Z196" i="10" s="1"/>
  <c r="AC196" i="10" s="1"/>
  <c r="AF196" i="10" s="1"/>
  <c r="AB196" i="10"/>
  <c r="AE196" i="10" s="1"/>
  <c r="R174" i="10"/>
  <c r="S174" i="10" s="1"/>
  <c r="T174" i="10" s="1"/>
  <c r="S175" i="10"/>
  <c r="T175" i="10" s="1"/>
  <c r="R175" i="10"/>
  <c r="AH192" i="10"/>
  <c r="AI192" i="10" s="1"/>
  <c r="AB59" i="10"/>
  <c r="AE59" i="10" s="1"/>
  <c r="Y59" i="10"/>
  <c r="Z59" i="10" s="1"/>
  <c r="AC59" i="10" s="1"/>
  <c r="AF59" i="10" s="1"/>
  <c r="Q72" i="10"/>
  <c r="R72" i="10" s="1"/>
  <c r="S72" i="10" s="1"/>
  <c r="T72" i="10" s="1"/>
  <c r="Y83" i="10"/>
  <c r="Z83" i="10" s="1"/>
  <c r="AC83" i="10" s="1"/>
  <c r="AF83" i="10" s="1"/>
  <c r="AB83" i="10"/>
  <c r="AE83" i="10" s="1"/>
  <c r="AA168" i="10"/>
  <c r="AD168" i="10" s="1"/>
  <c r="AG168" i="10" s="1"/>
  <c r="V89" i="10"/>
  <c r="AA89" i="10"/>
  <c r="AD89" i="10" s="1"/>
  <c r="AG89" i="10" s="1"/>
  <c r="W60" i="10"/>
  <c r="X60" i="10"/>
  <c r="W171" i="10"/>
  <c r="X171" i="10"/>
  <c r="X197" i="10"/>
  <c r="W197" i="10"/>
  <c r="AA173" i="10"/>
  <c r="AD173" i="10" s="1"/>
  <c r="AG173" i="10" s="1"/>
  <c r="V173" i="10"/>
  <c r="W173" i="10" s="1"/>
  <c r="U173" i="10"/>
  <c r="X88" i="10"/>
  <c r="W88" i="10"/>
  <c r="U199" i="10"/>
  <c r="V199" i="10" s="1"/>
  <c r="X199" i="10" s="1"/>
  <c r="AH58" i="10"/>
  <c r="AI58" i="10" s="1"/>
  <c r="AM76" i="2"/>
  <c r="AM81" i="2"/>
  <c r="AM155" i="2"/>
  <c r="AO155" i="2" s="1"/>
  <c r="AM86" i="2"/>
  <c r="AM80" i="2"/>
  <c r="S185" i="2"/>
  <c r="T185" i="2" s="1"/>
  <c r="S180" i="2"/>
  <c r="T180" i="2" s="1"/>
  <c r="K157" i="2"/>
  <c r="L156" i="2"/>
  <c r="M156" i="2" s="1"/>
  <c r="N156" i="2" s="1"/>
  <c r="K75" i="2"/>
  <c r="L74" i="2"/>
  <c r="M74" i="2" s="1"/>
  <c r="O160" i="2"/>
  <c r="U160" i="2" s="1"/>
  <c r="J161" i="2"/>
  <c r="I166" i="2"/>
  <c r="I162" i="2"/>
  <c r="Q159" i="2"/>
  <c r="P159" i="2"/>
  <c r="Q48" i="2"/>
  <c r="R48" i="2" s="1"/>
  <c r="S48" i="2" s="1"/>
  <c r="T48" i="2" s="1"/>
  <c r="U48" i="2" s="1"/>
  <c r="K51" i="2"/>
  <c r="L50" i="2"/>
  <c r="M50" i="2" s="1"/>
  <c r="K181" i="2"/>
  <c r="L180" i="2"/>
  <c r="M180" i="2" s="1"/>
  <c r="K30" i="2"/>
  <c r="L29" i="2"/>
  <c r="M29" i="2" s="1"/>
  <c r="F88" i="2"/>
  <c r="J88" i="2" s="1"/>
  <c r="O190" i="2"/>
  <c r="U190" i="2" s="1"/>
  <c r="R180" i="2"/>
  <c r="R185" i="2"/>
  <c r="M23" i="2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I24" i="2"/>
  <c r="I25" i="2" s="1"/>
  <c r="W172" i="11" l="1"/>
  <c r="AL67" i="10"/>
  <c r="AH171" i="11"/>
  <c r="AI171" i="11" s="1"/>
  <c r="AA108" i="12"/>
  <c r="AD108" i="12" s="1"/>
  <c r="AG108" i="12" s="1"/>
  <c r="AH155" i="12"/>
  <c r="AI155" i="12" s="1"/>
  <c r="AK61" i="10"/>
  <c r="AL59" i="11"/>
  <c r="AK171" i="11"/>
  <c r="AJ171" i="11"/>
  <c r="AH48" i="11"/>
  <c r="AI48" i="11" s="1"/>
  <c r="Y51" i="10"/>
  <c r="Z51" i="10" s="1"/>
  <c r="AC51" i="10" s="1"/>
  <c r="AF51" i="10" s="1"/>
  <c r="AB51" i="10"/>
  <c r="AE51" i="10" s="1"/>
  <c r="AH51" i="10" s="1"/>
  <c r="AI51" i="10" s="1"/>
  <c r="AL85" i="10"/>
  <c r="X108" i="12"/>
  <c r="AH159" i="12"/>
  <c r="AI159" i="12" s="1"/>
  <c r="AM166" i="12"/>
  <c r="AO166" i="12" s="1"/>
  <c r="AM183" i="12"/>
  <c r="AA50" i="11"/>
  <c r="AD50" i="11" s="1"/>
  <c r="AG50" i="11" s="1"/>
  <c r="AM50" i="10"/>
  <c r="AM183" i="11"/>
  <c r="AH77" i="10"/>
  <c r="AI77" i="10" s="1"/>
  <c r="AH177" i="2"/>
  <c r="AI177" i="2" s="1"/>
  <c r="W62" i="11"/>
  <c r="AM196" i="12"/>
  <c r="AH154" i="12"/>
  <c r="AI154" i="12" s="1"/>
  <c r="AB76" i="10"/>
  <c r="AE76" i="10" s="1"/>
  <c r="Y76" i="10"/>
  <c r="Z76" i="10" s="1"/>
  <c r="AC76" i="10" s="1"/>
  <c r="AF76" i="10" s="1"/>
  <c r="V74" i="12"/>
  <c r="X74" i="12" s="1"/>
  <c r="V70" i="12"/>
  <c r="AJ58" i="12"/>
  <c r="AL58" i="12"/>
  <c r="AK58" i="12"/>
  <c r="V94" i="12"/>
  <c r="X94" i="12" s="1"/>
  <c r="U103" i="12"/>
  <c r="AA103" i="12" s="1"/>
  <c r="AD103" i="12" s="1"/>
  <c r="AG103" i="12" s="1"/>
  <c r="U74" i="11"/>
  <c r="AA74" i="11" s="1"/>
  <c r="AD74" i="11" s="1"/>
  <c r="AG74" i="11" s="1"/>
  <c r="Y108" i="12"/>
  <c r="Z108" i="12" s="1"/>
  <c r="AC108" i="12" s="1"/>
  <c r="AF108" i="12" s="1"/>
  <c r="AB108" i="12"/>
  <c r="AE108" i="12" s="1"/>
  <c r="U50" i="12"/>
  <c r="V50" i="12" s="1"/>
  <c r="W50" i="12" s="1"/>
  <c r="AB50" i="12" s="1"/>
  <c r="AE50" i="12" s="1"/>
  <c r="AA50" i="12"/>
  <c r="AD50" i="12" s="1"/>
  <c r="AG50" i="12" s="1"/>
  <c r="U83" i="12"/>
  <c r="V84" i="12"/>
  <c r="X59" i="12"/>
  <c r="W59" i="12"/>
  <c r="U90" i="12"/>
  <c r="V90" i="12" s="1"/>
  <c r="AA62" i="12"/>
  <c r="AD62" i="12" s="1"/>
  <c r="AG62" i="12" s="1"/>
  <c r="V86" i="12"/>
  <c r="X86" i="12" s="1"/>
  <c r="U109" i="12"/>
  <c r="AA109" i="12" s="1"/>
  <c r="AD109" i="12" s="1"/>
  <c r="AG109" i="12" s="1"/>
  <c r="AA52" i="11"/>
  <c r="AD52" i="11" s="1"/>
  <c r="AG52" i="11" s="1"/>
  <c r="U49" i="12"/>
  <c r="U89" i="12"/>
  <c r="V89" i="12" s="1"/>
  <c r="AA23" i="12"/>
  <c r="AD23" i="12" s="1"/>
  <c r="AG23" i="12" s="1"/>
  <c r="W79" i="12"/>
  <c r="X79" i="12"/>
  <c r="AJ73" i="12"/>
  <c r="AM73" i="12" s="1"/>
  <c r="AO73" i="12" s="1"/>
  <c r="AL73" i="12"/>
  <c r="AK73" i="12"/>
  <c r="AJ67" i="10"/>
  <c r="AK53" i="12"/>
  <c r="AL53" i="12"/>
  <c r="AJ53" i="12"/>
  <c r="AM177" i="12"/>
  <c r="AN191" i="11"/>
  <c r="AN176" i="11"/>
  <c r="AO176" i="11" s="1"/>
  <c r="AN186" i="11"/>
  <c r="AN196" i="11"/>
  <c r="AN181" i="11"/>
  <c r="F31" i="10"/>
  <c r="F27" i="10"/>
  <c r="J26" i="10"/>
  <c r="N26" i="10" s="1"/>
  <c r="H122" i="11"/>
  <c r="J122" i="11" s="1"/>
  <c r="J121" i="11"/>
  <c r="H142" i="11"/>
  <c r="J142" i="11" s="1"/>
  <c r="J141" i="11"/>
  <c r="H117" i="11"/>
  <c r="J117" i="11" s="1"/>
  <c r="J116" i="11"/>
  <c r="AA55" i="12"/>
  <c r="AD55" i="12" s="1"/>
  <c r="AG55" i="12" s="1"/>
  <c r="U102" i="10"/>
  <c r="AD102" i="10"/>
  <c r="AG102" i="10" s="1"/>
  <c r="V102" i="10"/>
  <c r="W102" i="10" s="1"/>
  <c r="X102" i="10"/>
  <c r="AA102" i="10"/>
  <c r="Y102" i="10"/>
  <c r="Z102" i="10" s="1"/>
  <c r="AC102" i="10" s="1"/>
  <c r="AF102" i="10" s="1"/>
  <c r="AB102" i="10"/>
  <c r="AE102" i="10" s="1"/>
  <c r="Q23" i="10"/>
  <c r="R23" i="10" s="1"/>
  <c r="S23" i="10" s="1"/>
  <c r="T23" i="10" s="1"/>
  <c r="V95" i="12"/>
  <c r="W95" i="12" s="1"/>
  <c r="AA95" i="12"/>
  <c r="AD95" i="12" s="1"/>
  <c r="AG95" i="12" s="1"/>
  <c r="AA65" i="12"/>
  <c r="AD65" i="12" s="1"/>
  <c r="AG65" i="12" s="1"/>
  <c r="V65" i="12"/>
  <c r="W65" i="12" s="1"/>
  <c r="U113" i="12"/>
  <c r="V82" i="11"/>
  <c r="W82" i="11" s="1"/>
  <c r="AA82" i="11"/>
  <c r="AD82" i="11" s="1"/>
  <c r="AG82" i="11" s="1"/>
  <c r="X82" i="11"/>
  <c r="Y82" i="11"/>
  <c r="Z82" i="11" s="1"/>
  <c r="AC82" i="11" s="1"/>
  <c r="AF82" i="11" s="1"/>
  <c r="AB82" i="11"/>
  <c r="AE82" i="11" s="1"/>
  <c r="AH169" i="12"/>
  <c r="AI169" i="12" s="1"/>
  <c r="P91" i="12"/>
  <c r="Q91" i="12" s="1"/>
  <c r="R91" i="12" s="1"/>
  <c r="S91" i="12" s="1"/>
  <c r="T91" i="12" s="1"/>
  <c r="U91" i="12" s="1"/>
  <c r="F43" i="10"/>
  <c r="J43" i="10" s="1"/>
  <c r="N43" i="10" s="1"/>
  <c r="O43" i="10" s="1"/>
  <c r="J38" i="10"/>
  <c r="N38" i="10" s="1"/>
  <c r="AH172" i="12"/>
  <c r="AI172" i="12" s="1"/>
  <c r="W80" i="12"/>
  <c r="AA56" i="11"/>
  <c r="AD56" i="11" s="1"/>
  <c r="AG56" i="11" s="1"/>
  <c r="V56" i="11"/>
  <c r="W63" i="12"/>
  <c r="AM187" i="12"/>
  <c r="AJ54" i="10"/>
  <c r="AL54" i="10"/>
  <c r="AK54" i="10"/>
  <c r="V81" i="11"/>
  <c r="W81" i="11"/>
  <c r="X81" i="11"/>
  <c r="Y81" i="11"/>
  <c r="Z81" i="11" s="1"/>
  <c r="AC81" i="11" s="1"/>
  <c r="AF81" i="11" s="1"/>
  <c r="AB81" i="11"/>
  <c r="AE81" i="11" s="1"/>
  <c r="AL153" i="12"/>
  <c r="AJ153" i="12"/>
  <c r="AM153" i="12" s="1"/>
  <c r="AO153" i="12" s="1"/>
  <c r="P57" i="12"/>
  <c r="Q57" i="12" s="1"/>
  <c r="R57" i="12" s="1"/>
  <c r="S57" i="12" s="1"/>
  <c r="T57" i="12" s="1"/>
  <c r="U57" i="12" s="1"/>
  <c r="AB81" i="12"/>
  <c r="AE81" i="12" s="1"/>
  <c r="AC81" i="12"/>
  <c r="AF81" i="12" s="1"/>
  <c r="AA81" i="12"/>
  <c r="Y81" i="12"/>
  <c r="V81" i="12"/>
  <c r="W81" i="12"/>
  <c r="Z81" i="12"/>
  <c r="X81" i="12"/>
  <c r="AD81" i="12"/>
  <c r="AG81" i="12" s="1"/>
  <c r="F39" i="10"/>
  <c r="J34" i="10"/>
  <c r="N34" i="10" s="1"/>
  <c r="AA79" i="12"/>
  <c r="AD79" i="12" s="1"/>
  <c r="AG79" i="12" s="1"/>
  <c r="AL165" i="12"/>
  <c r="AJ165" i="12"/>
  <c r="AM165" i="12" s="1"/>
  <c r="AO165" i="12" s="1"/>
  <c r="W85" i="12"/>
  <c r="H106" i="12"/>
  <c r="J105" i="12"/>
  <c r="N105" i="12" s="1"/>
  <c r="O105" i="12" s="1"/>
  <c r="AJ158" i="12"/>
  <c r="AM158" i="12" s="1"/>
  <c r="AO158" i="12" s="1"/>
  <c r="AL158" i="12"/>
  <c r="F35" i="12"/>
  <c r="J30" i="12"/>
  <c r="N30" i="12" s="1"/>
  <c r="P99" i="12"/>
  <c r="Q99" i="12" s="1"/>
  <c r="R99" i="12" s="1"/>
  <c r="S99" i="12" s="1"/>
  <c r="T99" i="12" s="1"/>
  <c r="U99" i="12" s="1"/>
  <c r="V99" i="12" s="1"/>
  <c r="X99" i="12" s="1"/>
  <c r="AH170" i="12"/>
  <c r="AI170" i="12" s="1"/>
  <c r="AH156" i="12"/>
  <c r="AI156" i="12" s="1"/>
  <c r="Y55" i="11"/>
  <c r="Z55" i="11" s="1"/>
  <c r="AC55" i="11" s="1"/>
  <c r="AF55" i="11" s="1"/>
  <c r="AB55" i="11"/>
  <c r="AE55" i="11" s="1"/>
  <c r="O33" i="12"/>
  <c r="AL176" i="12"/>
  <c r="AJ176" i="12"/>
  <c r="AK176" i="12"/>
  <c r="AB60" i="12"/>
  <c r="AE60" i="12" s="1"/>
  <c r="Y60" i="12"/>
  <c r="Z60" i="12" s="1"/>
  <c r="AC60" i="12" s="1"/>
  <c r="AF60" i="12" s="1"/>
  <c r="W50" i="11"/>
  <c r="W86" i="10"/>
  <c r="AK48" i="12"/>
  <c r="AL48" i="12"/>
  <c r="AJ48" i="12"/>
  <c r="P72" i="12"/>
  <c r="Q72" i="12" s="1"/>
  <c r="R72" i="12" s="1"/>
  <c r="S72" i="12" s="1"/>
  <c r="T72" i="12" s="1"/>
  <c r="U72" i="12" s="1"/>
  <c r="AH54" i="11"/>
  <c r="AI54" i="11" s="1"/>
  <c r="P76" i="12"/>
  <c r="Q76" i="12"/>
  <c r="U76" i="12"/>
  <c r="F35" i="10"/>
  <c r="J30" i="10"/>
  <c r="N30" i="10" s="1"/>
  <c r="AB184" i="11"/>
  <c r="AE184" i="11" s="1"/>
  <c r="Y184" i="11"/>
  <c r="Z184" i="11" s="1"/>
  <c r="AC184" i="11" s="1"/>
  <c r="AF184" i="11" s="1"/>
  <c r="AB75" i="10"/>
  <c r="AE75" i="10" s="1"/>
  <c r="Y75" i="10"/>
  <c r="Z75" i="10" s="1"/>
  <c r="AC75" i="10" s="1"/>
  <c r="AF75" i="10" s="1"/>
  <c r="P24" i="12"/>
  <c r="Q24" i="12"/>
  <c r="U24" i="12"/>
  <c r="Q75" i="11"/>
  <c r="S75" i="11"/>
  <c r="T75" i="11" s="1"/>
  <c r="R75" i="11"/>
  <c r="Q118" i="12"/>
  <c r="R118" i="12" s="1"/>
  <c r="S118" i="12" s="1"/>
  <c r="T118" i="12" s="1"/>
  <c r="P24" i="11"/>
  <c r="Q24" i="11"/>
  <c r="U24" i="11"/>
  <c r="AL168" i="12"/>
  <c r="AJ168" i="12"/>
  <c r="AM168" i="12" s="1"/>
  <c r="AO168" i="12" s="1"/>
  <c r="P71" i="12"/>
  <c r="Q71" i="12" s="1"/>
  <c r="R71" i="12" s="1"/>
  <c r="S71" i="12" s="1"/>
  <c r="T71" i="12" s="1"/>
  <c r="AA63" i="12"/>
  <c r="AD63" i="12" s="1"/>
  <c r="AG63" i="12" s="1"/>
  <c r="Z69" i="12"/>
  <c r="AC69" i="12" s="1"/>
  <c r="AF69" i="12" s="1"/>
  <c r="AM55" i="10"/>
  <c r="P76" i="11"/>
  <c r="Q76" i="11"/>
  <c r="R76" i="11" s="1"/>
  <c r="S76" i="11" s="1"/>
  <c r="T76" i="11" s="1"/>
  <c r="U76" i="11"/>
  <c r="AL48" i="11"/>
  <c r="AJ48" i="11"/>
  <c r="AK48" i="11"/>
  <c r="Y49" i="11"/>
  <c r="Z49" i="11" s="1"/>
  <c r="AC49" i="11" s="1"/>
  <c r="AF49" i="11" s="1"/>
  <c r="AB49" i="11"/>
  <c r="AE49" i="11" s="1"/>
  <c r="O52" i="12"/>
  <c r="P67" i="12"/>
  <c r="Q67" i="12" s="1"/>
  <c r="R67" i="12" s="1"/>
  <c r="S67" i="12" s="1"/>
  <c r="T67" i="12" s="1"/>
  <c r="U67" i="12" s="1"/>
  <c r="P28" i="10"/>
  <c r="AH64" i="12"/>
  <c r="AI64" i="12" s="1"/>
  <c r="O29" i="12"/>
  <c r="H127" i="10"/>
  <c r="J127" i="10" s="1"/>
  <c r="J126" i="10"/>
  <c r="O25" i="11"/>
  <c r="AK25" i="11"/>
  <c r="Q87" i="12"/>
  <c r="R87" i="12" s="1"/>
  <c r="S87" i="12" s="1"/>
  <c r="T87" i="12" s="1"/>
  <c r="Q28" i="11"/>
  <c r="R28" i="11"/>
  <c r="S28" i="11" s="1"/>
  <c r="T28" i="11" s="1"/>
  <c r="Q77" i="12"/>
  <c r="P77" i="12"/>
  <c r="U77" i="12"/>
  <c r="P66" i="12"/>
  <c r="Q66" i="12" s="1"/>
  <c r="R66" i="12" s="1"/>
  <c r="S66" i="12" s="1"/>
  <c r="T66" i="12" s="1"/>
  <c r="F31" i="12"/>
  <c r="F27" i="12"/>
  <c r="J26" i="12"/>
  <c r="N26" i="12" s="1"/>
  <c r="H101" i="12"/>
  <c r="J100" i="12"/>
  <c r="N100" i="12" s="1"/>
  <c r="F43" i="12"/>
  <c r="J43" i="12" s="1"/>
  <c r="N43" i="12" s="1"/>
  <c r="J38" i="12"/>
  <c r="N38" i="12" s="1"/>
  <c r="AJ179" i="12"/>
  <c r="AM179" i="12" s="1"/>
  <c r="AO179" i="12" s="1"/>
  <c r="AL179" i="12"/>
  <c r="AK179" i="12"/>
  <c r="V80" i="11"/>
  <c r="AA80" i="11"/>
  <c r="AD80" i="11" s="1"/>
  <c r="AG80" i="11" s="1"/>
  <c r="V54" i="12"/>
  <c r="AA54" i="12"/>
  <c r="AD54" i="12" s="1"/>
  <c r="AG54" i="12" s="1"/>
  <c r="V78" i="12"/>
  <c r="U88" i="11"/>
  <c r="AA88" i="11" s="1"/>
  <c r="AD88" i="11" s="1"/>
  <c r="AG88" i="11" s="1"/>
  <c r="H137" i="11"/>
  <c r="J137" i="11" s="1"/>
  <c r="J136" i="11"/>
  <c r="S82" i="12"/>
  <c r="T82" i="12" s="1"/>
  <c r="R82" i="12"/>
  <c r="P28" i="12"/>
  <c r="Q28" i="12" s="1"/>
  <c r="R28" i="12" s="1"/>
  <c r="S28" i="12" s="1"/>
  <c r="T28" i="12" s="1"/>
  <c r="P114" i="12"/>
  <c r="U77" i="11"/>
  <c r="Q77" i="11"/>
  <c r="P77" i="11"/>
  <c r="R75" i="12"/>
  <c r="S75" i="12"/>
  <c r="T75" i="12" s="1"/>
  <c r="P119" i="12"/>
  <c r="AB52" i="10"/>
  <c r="AE52" i="10" s="1"/>
  <c r="Y52" i="10"/>
  <c r="Z52" i="10" s="1"/>
  <c r="AC52" i="10" s="1"/>
  <c r="AF52" i="10" s="1"/>
  <c r="AA74" i="12"/>
  <c r="AD74" i="12" s="1"/>
  <c r="AG74" i="12" s="1"/>
  <c r="H127" i="11"/>
  <c r="J127" i="11" s="1"/>
  <c r="J126" i="11"/>
  <c r="AH174" i="12"/>
  <c r="AI174" i="12" s="1"/>
  <c r="AL154" i="12"/>
  <c r="AJ154" i="12"/>
  <c r="AM154" i="12" s="1"/>
  <c r="AO154" i="12" s="1"/>
  <c r="H107" i="11"/>
  <c r="J107" i="11" s="1"/>
  <c r="J106" i="11"/>
  <c r="AA93" i="12"/>
  <c r="AD93" i="12" s="1"/>
  <c r="AG93" i="12" s="1"/>
  <c r="U93" i="12"/>
  <c r="V93" i="12" s="1"/>
  <c r="AM183" i="10"/>
  <c r="P33" i="11"/>
  <c r="O88" i="12"/>
  <c r="V23" i="12"/>
  <c r="W23" i="12" s="1"/>
  <c r="H128" i="12"/>
  <c r="H123" i="12"/>
  <c r="H134" i="12"/>
  <c r="H143" i="12"/>
  <c r="H138" i="12"/>
  <c r="F39" i="12"/>
  <c r="J34" i="12"/>
  <c r="N34" i="12" s="1"/>
  <c r="F31" i="11"/>
  <c r="F27" i="11"/>
  <c r="J26" i="11"/>
  <c r="N26" i="11" s="1"/>
  <c r="P51" i="12"/>
  <c r="Q51" i="12" s="1"/>
  <c r="R51" i="12" s="1"/>
  <c r="S51" i="12" s="1"/>
  <c r="T51" i="12" s="1"/>
  <c r="U51" i="12" s="1"/>
  <c r="P56" i="12"/>
  <c r="Q56" i="12" s="1"/>
  <c r="R56" i="12" s="1"/>
  <c r="S56" i="12" s="1"/>
  <c r="T56" i="12" s="1"/>
  <c r="U56" i="12" s="1"/>
  <c r="AP156" i="10"/>
  <c r="AJ160" i="11"/>
  <c r="AM160" i="11" s="1"/>
  <c r="AO160" i="11" s="1"/>
  <c r="AP156" i="11" s="1"/>
  <c r="AL160" i="11"/>
  <c r="AH175" i="12"/>
  <c r="AI175" i="12" s="1"/>
  <c r="J34" i="11"/>
  <c r="N34" i="11" s="1"/>
  <c r="O34" i="11" s="1"/>
  <c r="F39" i="11"/>
  <c r="AL170" i="11"/>
  <c r="AJ170" i="11"/>
  <c r="AM170" i="11" s="1"/>
  <c r="AO170" i="11" s="1"/>
  <c r="Y79" i="11"/>
  <c r="Z79" i="11" s="1"/>
  <c r="AC79" i="11" s="1"/>
  <c r="AF79" i="11" s="1"/>
  <c r="AB79" i="11"/>
  <c r="AE79" i="11" s="1"/>
  <c r="AJ73" i="11"/>
  <c r="AM73" i="11" s="1"/>
  <c r="AL73" i="11"/>
  <c r="AK73" i="11"/>
  <c r="AL159" i="12"/>
  <c r="AJ159" i="12"/>
  <c r="AM159" i="12" s="1"/>
  <c r="AO159" i="12" s="1"/>
  <c r="AA94" i="12"/>
  <c r="AD94" i="12" s="1"/>
  <c r="AG94" i="12" s="1"/>
  <c r="W94" i="12"/>
  <c r="AB94" i="12" s="1"/>
  <c r="AE94" i="12" s="1"/>
  <c r="Q25" i="10"/>
  <c r="R25" i="10" s="1"/>
  <c r="S25" i="10" s="1"/>
  <c r="T25" i="10" s="1"/>
  <c r="V92" i="12"/>
  <c r="X92" i="12" s="1"/>
  <c r="AA92" i="12"/>
  <c r="AD92" i="12" s="1"/>
  <c r="AG92" i="12" s="1"/>
  <c r="V98" i="12"/>
  <c r="AA57" i="11"/>
  <c r="AD57" i="11" s="1"/>
  <c r="AG57" i="11" s="1"/>
  <c r="V57" i="11"/>
  <c r="Q23" i="11"/>
  <c r="R23" i="11" s="1"/>
  <c r="S23" i="11" s="1"/>
  <c r="T23" i="11" s="1"/>
  <c r="AA86" i="12"/>
  <c r="AD86" i="12" s="1"/>
  <c r="AG86" i="12" s="1"/>
  <c r="W86" i="12"/>
  <c r="Y86" i="12" s="1"/>
  <c r="Z86" i="12" s="1"/>
  <c r="AC86" i="12" s="1"/>
  <c r="AF86" i="12" s="1"/>
  <c r="V55" i="12"/>
  <c r="W55" i="12" s="1"/>
  <c r="AB55" i="12" s="1"/>
  <c r="AE55" i="12" s="1"/>
  <c r="H116" i="12"/>
  <c r="J115" i="12"/>
  <c r="N115" i="12" s="1"/>
  <c r="O115" i="12" s="1"/>
  <c r="H121" i="12"/>
  <c r="J120" i="12"/>
  <c r="N120" i="12" s="1"/>
  <c r="O120" i="12" s="1"/>
  <c r="V61" i="12"/>
  <c r="W61" i="12" s="1"/>
  <c r="AA61" i="12"/>
  <c r="AD61" i="12" s="1"/>
  <c r="AG61" i="12" s="1"/>
  <c r="P24" i="10"/>
  <c r="Q24" i="10" s="1"/>
  <c r="R24" i="10" s="1"/>
  <c r="S24" i="10" s="1"/>
  <c r="T24" i="10" s="1"/>
  <c r="AP161" i="12"/>
  <c r="P33" i="10"/>
  <c r="X70" i="12"/>
  <c r="W70" i="12"/>
  <c r="Y70" i="12" s="1"/>
  <c r="AA70" i="12"/>
  <c r="AD70" i="12" s="1"/>
  <c r="AG70" i="12" s="1"/>
  <c r="AH69" i="12"/>
  <c r="AI69" i="12" s="1"/>
  <c r="V52" i="11"/>
  <c r="X52" i="11" s="1"/>
  <c r="F43" i="11"/>
  <c r="J43" i="11" s="1"/>
  <c r="N43" i="11" s="1"/>
  <c r="O43" i="11" s="1"/>
  <c r="J38" i="11"/>
  <c r="N38" i="11" s="1"/>
  <c r="O38" i="11" s="1"/>
  <c r="H102" i="11"/>
  <c r="J102" i="11" s="1"/>
  <c r="N102" i="11" s="1"/>
  <c r="J101" i="11"/>
  <c r="V62" i="12"/>
  <c r="X62" i="12" s="1"/>
  <c r="H130" i="11"/>
  <c r="J129" i="11"/>
  <c r="AL175" i="11"/>
  <c r="AJ175" i="11"/>
  <c r="AM175" i="11" s="1"/>
  <c r="AO175" i="11" s="1"/>
  <c r="Q96" i="12"/>
  <c r="R96" i="12" s="1"/>
  <c r="S96" i="12" s="1"/>
  <c r="T96" i="12" s="1"/>
  <c r="AJ155" i="12"/>
  <c r="AM155" i="12" s="1"/>
  <c r="AO155" i="12" s="1"/>
  <c r="AL155" i="12"/>
  <c r="F35" i="11"/>
  <c r="J30" i="11"/>
  <c r="N30" i="11" s="1"/>
  <c r="P97" i="12"/>
  <c r="Q97" i="12" s="1"/>
  <c r="R97" i="12" s="1"/>
  <c r="S97" i="12" s="1"/>
  <c r="T97" i="12" s="1"/>
  <c r="U97" i="12" s="1"/>
  <c r="AH160" i="12"/>
  <c r="AI160" i="12" s="1"/>
  <c r="O29" i="10"/>
  <c r="AL77" i="10"/>
  <c r="AJ77" i="10"/>
  <c r="AM77" i="10" s="1"/>
  <c r="AO77" i="10" s="1"/>
  <c r="AO181" i="11"/>
  <c r="O104" i="12"/>
  <c r="AJ173" i="12"/>
  <c r="AM173" i="12" s="1"/>
  <c r="AO173" i="12" s="1"/>
  <c r="AL173" i="12"/>
  <c r="H147" i="11"/>
  <c r="J147" i="11" s="1"/>
  <c r="J146" i="11"/>
  <c r="Y56" i="10"/>
  <c r="Z56" i="10" s="1"/>
  <c r="AC56" i="10" s="1"/>
  <c r="AF56" i="10" s="1"/>
  <c r="AB56" i="10"/>
  <c r="AE56" i="10" s="1"/>
  <c r="AK25" i="12"/>
  <c r="O25" i="12"/>
  <c r="AA84" i="12"/>
  <c r="AD84" i="12" s="1"/>
  <c r="AG84" i="12" s="1"/>
  <c r="W84" i="12"/>
  <c r="AB84" i="12" s="1"/>
  <c r="AE84" i="12" s="1"/>
  <c r="X84" i="12"/>
  <c r="U51" i="11"/>
  <c r="O29" i="11"/>
  <c r="AL182" i="11"/>
  <c r="AJ182" i="11"/>
  <c r="AK182" i="11"/>
  <c r="AA59" i="12"/>
  <c r="AD59" i="12" s="1"/>
  <c r="AG59" i="12" s="1"/>
  <c r="V68" i="12"/>
  <c r="AJ166" i="11"/>
  <c r="AL200" i="10"/>
  <c r="AM200" i="10" s="1"/>
  <c r="AA92" i="10"/>
  <c r="AD92" i="10" s="1"/>
  <c r="AG92" i="10" s="1"/>
  <c r="AA87" i="10"/>
  <c r="AD87" i="10" s="1"/>
  <c r="AG87" i="10" s="1"/>
  <c r="AK189" i="10"/>
  <c r="AL189" i="10"/>
  <c r="AJ189" i="10"/>
  <c r="X87" i="10"/>
  <c r="W87" i="10"/>
  <c r="Y87" i="10" s="1"/>
  <c r="V91" i="10"/>
  <c r="W92" i="10"/>
  <c r="AB92" i="10" s="1"/>
  <c r="AE92" i="10" s="1"/>
  <c r="AM85" i="10"/>
  <c r="W98" i="10"/>
  <c r="X98" i="10"/>
  <c r="AK62" i="10"/>
  <c r="AL62" i="10"/>
  <c r="AJ62" i="10"/>
  <c r="AL186" i="11"/>
  <c r="AM186" i="11" s="1"/>
  <c r="AK166" i="11"/>
  <c r="AM166" i="11" s="1"/>
  <c r="AO166" i="11" s="1"/>
  <c r="AP166" i="11" s="1"/>
  <c r="Y86" i="10"/>
  <c r="Z86" i="10" s="1"/>
  <c r="AC86" i="10" s="1"/>
  <c r="AF86" i="10" s="1"/>
  <c r="AB86" i="10"/>
  <c r="AE86" i="10" s="1"/>
  <c r="AB195" i="10"/>
  <c r="AE195" i="10" s="1"/>
  <c r="Y195" i="10"/>
  <c r="Z195" i="10" s="1"/>
  <c r="AC195" i="10" s="1"/>
  <c r="AF195" i="10" s="1"/>
  <c r="O100" i="10"/>
  <c r="P100" i="10" s="1"/>
  <c r="U99" i="10"/>
  <c r="AA99" i="10" s="1"/>
  <c r="AD99" i="10" s="1"/>
  <c r="AG99" i="10" s="1"/>
  <c r="AL171" i="11"/>
  <c r="AM171" i="11" s="1"/>
  <c r="AO171" i="11" s="1"/>
  <c r="AK59" i="11"/>
  <c r="AM59" i="11" s="1"/>
  <c r="AM188" i="10"/>
  <c r="U97" i="10"/>
  <c r="AA97" i="10" s="1"/>
  <c r="AD97" i="10" s="1"/>
  <c r="AG97" i="10" s="1"/>
  <c r="AB87" i="10"/>
  <c r="AE87" i="10" s="1"/>
  <c r="AB194" i="10"/>
  <c r="AE194" i="10" s="1"/>
  <c r="Y194" i="10"/>
  <c r="Z194" i="10" s="1"/>
  <c r="AC194" i="10" s="1"/>
  <c r="AF194" i="10" s="1"/>
  <c r="AM61" i="10"/>
  <c r="AA98" i="10"/>
  <c r="AD98" i="10" s="1"/>
  <c r="AG98" i="10" s="1"/>
  <c r="AM67" i="10"/>
  <c r="V90" i="11"/>
  <c r="W90" i="11" s="1"/>
  <c r="AB90" i="11" s="1"/>
  <c r="AE90" i="11" s="1"/>
  <c r="AJ110" i="12"/>
  <c r="AL110" i="12"/>
  <c r="Z111" i="12"/>
  <c r="AC111" i="12" s="1"/>
  <c r="AF111" i="12" s="1"/>
  <c r="AH111" i="12" s="1"/>
  <c r="AI111" i="12" s="1"/>
  <c r="K128" i="12"/>
  <c r="L127" i="12"/>
  <c r="M127" i="12" s="1"/>
  <c r="V112" i="12"/>
  <c r="AH84" i="11"/>
  <c r="AI84" i="11" s="1"/>
  <c r="AJ84" i="11" s="1"/>
  <c r="W198" i="11"/>
  <c r="Y198" i="11" s="1"/>
  <c r="X198" i="11"/>
  <c r="AA198" i="11"/>
  <c r="AD198" i="11" s="1"/>
  <c r="AG198" i="11" s="1"/>
  <c r="W189" i="11"/>
  <c r="X189" i="11"/>
  <c r="AB196" i="11"/>
  <c r="AE196" i="11" s="1"/>
  <c r="Y196" i="11"/>
  <c r="Z196" i="11" s="1"/>
  <c r="AC196" i="11" s="1"/>
  <c r="AF196" i="11" s="1"/>
  <c r="X70" i="11"/>
  <c r="W70" i="11"/>
  <c r="Y70" i="11" s="1"/>
  <c r="V94" i="11"/>
  <c r="W94" i="11" s="1"/>
  <c r="AB94" i="11" s="1"/>
  <c r="AE94" i="11" s="1"/>
  <c r="AH63" i="11"/>
  <c r="AI63" i="11" s="1"/>
  <c r="AL63" i="11" s="1"/>
  <c r="AA70" i="11"/>
  <c r="AD70" i="11" s="1"/>
  <c r="AG70" i="11" s="1"/>
  <c r="V86" i="11"/>
  <c r="W66" i="11"/>
  <c r="AB66" i="11" s="1"/>
  <c r="AE66" i="11" s="1"/>
  <c r="U72" i="11"/>
  <c r="V72" i="11" s="1"/>
  <c r="X72" i="11" s="1"/>
  <c r="U199" i="11"/>
  <c r="V199" i="11" s="1"/>
  <c r="W199" i="11" s="1"/>
  <c r="U91" i="11"/>
  <c r="AA91" i="11" s="1"/>
  <c r="AD91" i="11" s="1"/>
  <c r="AG91" i="11" s="1"/>
  <c r="U71" i="11"/>
  <c r="V71" i="11" s="1"/>
  <c r="W71" i="11" s="1"/>
  <c r="U92" i="11"/>
  <c r="V92" i="11" s="1"/>
  <c r="W195" i="11"/>
  <c r="X195" i="11"/>
  <c r="X67" i="11"/>
  <c r="W67" i="11"/>
  <c r="U200" i="11"/>
  <c r="AA200" i="11" s="1"/>
  <c r="AD200" i="11" s="1"/>
  <c r="AG200" i="11" s="1"/>
  <c r="AB198" i="11"/>
  <c r="AE198" i="11" s="1"/>
  <c r="W93" i="11"/>
  <c r="X93" i="11"/>
  <c r="AH191" i="11"/>
  <c r="AI191" i="11" s="1"/>
  <c r="O100" i="11"/>
  <c r="R98" i="11"/>
  <c r="S98" i="11" s="1"/>
  <c r="T98" i="11" s="1"/>
  <c r="AM187" i="11"/>
  <c r="V194" i="11"/>
  <c r="AA195" i="11"/>
  <c r="AD195" i="11" s="1"/>
  <c r="AG195" i="11" s="1"/>
  <c r="AH188" i="11"/>
  <c r="AI188" i="11" s="1"/>
  <c r="AM161" i="11"/>
  <c r="AO161" i="11" s="1"/>
  <c r="AP161" i="11" s="1"/>
  <c r="AB89" i="11"/>
  <c r="AE89" i="11" s="1"/>
  <c r="Y89" i="11"/>
  <c r="Z89" i="11" s="1"/>
  <c r="AC89" i="11" s="1"/>
  <c r="AF89" i="11" s="1"/>
  <c r="Y193" i="11"/>
  <c r="Z193" i="11" s="1"/>
  <c r="AC193" i="11" s="1"/>
  <c r="AF193" i="11" s="1"/>
  <c r="AB193" i="11"/>
  <c r="AE193" i="11" s="1"/>
  <c r="AA66" i="11"/>
  <c r="AD66" i="11" s="1"/>
  <c r="AG66" i="11" s="1"/>
  <c r="Y60" i="11"/>
  <c r="Z60" i="11" s="1"/>
  <c r="AC60" i="11" s="1"/>
  <c r="AF60" i="11" s="1"/>
  <c r="AB60" i="11"/>
  <c r="AE60" i="11" s="1"/>
  <c r="R97" i="11"/>
  <c r="S97" i="11" s="1"/>
  <c r="T97" i="11" s="1"/>
  <c r="K102" i="11"/>
  <c r="L101" i="11"/>
  <c r="M101" i="11" s="1"/>
  <c r="N101" i="11" s="1"/>
  <c r="Y68" i="11"/>
  <c r="Z68" i="11" s="1"/>
  <c r="AC68" i="11" s="1"/>
  <c r="AF68" i="11" s="1"/>
  <c r="AB68" i="11"/>
  <c r="AE68" i="11" s="1"/>
  <c r="W190" i="11"/>
  <c r="X190" i="11"/>
  <c r="AB64" i="11"/>
  <c r="AE64" i="11" s="1"/>
  <c r="Y64" i="11"/>
  <c r="Z64" i="11" s="1"/>
  <c r="AC64" i="11" s="1"/>
  <c r="AF64" i="11" s="1"/>
  <c r="AM192" i="11"/>
  <c r="P99" i="11"/>
  <c r="Q99" i="11" s="1"/>
  <c r="AH83" i="11"/>
  <c r="AI83" i="11" s="1"/>
  <c r="R96" i="11"/>
  <c r="S96" i="11" s="1"/>
  <c r="T96" i="11" s="1"/>
  <c r="AB62" i="11"/>
  <c r="AE62" i="11" s="1"/>
  <c r="Y62" i="11"/>
  <c r="Z62" i="11" s="1"/>
  <c r="AC62" i="11" s="1"/>
  <c r="AF62" i="11" s="1"/>
  <c r="AB61" i="11"/>
  <c r="AE61" i="11" s="1"/>
  <c r="Y61" i="11"/>
  <c r="Z61" i="11" s="1"/>
  <c r="AC61" i="11" s="1"/>
  <c r="AF61" i="11" s="1"/>
  <c r="Y69" i="11"/>
  <c r="Z69" i="11" s="1"/>
  <c r="AC69" i="11" s="1"/>
  <c r="AF69" i="11" s="1"/>
  <c r="AB69" i="11"/>
  <c r="AE69" i="11" s="1"/>
  <c r="AB197" i="11"/>
  <c r="AE197" i="11" s="1"/>
  <c r="Y197" i="11"/>
  <c r="Z197" i="11" s="1"/>
  <c r="AC197" i="11" s="1"/>
  <c r="AF197" i="11" s="1"/>
  <c r="U95" i="11"/>
  <c r="AA67" i="11"/>
  <c r="AD67" i="11" s="1"/>
  <c r="AG67" i="11" s="1"/>
  <c r="Y172" i="11"/>
  <c r="Z172" i="11" s="1"/>
  <c r="AC172" i="11" s="1"/>
  <c r="AF172" i="11" s="1"/>
  <c r="AB172" i="11"/>
  <c r="AE172" i="11" s="1"/>
  <c r="W85" i="11"/>
  <c r="X85" i="11"/>
  <c r="U87" i="11"/>
  <c r="AB65" i="11"/>
  <c r="AE65" i="11" s="1"/>
  <c r="Y65" i="11"/>
  <c r="Z65" i="11" s="1"/>
  <c r="AC65" i="11" s="1"/>
  <c r="AF65" i="11" s="1"/>
  <c r="AL161" i="10"/>
  <c r="AK161" i="10"/>
  <c r="AH162" i="10"/>
  <c r="AI162" i="10" s="1"/>
  <c r="AJ162" i="10" s="1"/>
  <c r="AH64" i="10"/>
  <c r="AI64" i="10" s="1"/>
  <c r="AK64" i="10" s="1"/>
  <c r="AH68" i="10"/>
  <c r="AI68" i="10" s="1"/>
  <c r="AL68" i="10" s="1"/>
  <c r="AH63" i="10"/>
  <c r="AI63" i="10" s="1"/>
  <c r="AK63" i="10" s="1"/>
  <c r="AM166" i="10"/>
  <c r="AO166" i="10" s="1"/>
  <c r="AA199" i="10"/>
  <c r="AD199" i="10" s="1"/>
  <c r="AG199" i="10" s="1"/>
  <c r="V48" i="2"/>
  <c r="W48" i="2" s="1"/>
  <c r="Y48" i="2" s="1"/>
  <c r="AL177" i="2"/>
  <c r="AJ177" i="2"/>
  <c r="AL91" i="2"/>
  <c r="AJ91" i="2"/>
  <c r="X180" i="2"/>
  <c r="W180" i="2"/>
  <c r="AC180" i="2"/>
  <c r="AF180" i="2" s="1"/>
  <c r="AB180" i="2"/>
  <c r="AE180" i="2" s="1"/>
  <c r="V180" i="2"/>
  <c r="Y180" i="2"/>
  <c r="AD180" i="2"/>
  <c r="AG180" i="2" s="1"/>
  <c r="AA180" i="2"/>
  <c r="Z180" i="2"/>
  <c r="AH182" i="2"/>
  <c r="AI182" i="2" s="1"/>
  <c r="AH132" i="2"/>
  <c r="AI132" i="2" s="1"/>
  <c r="AB48" i="2"/>
  <c r="AE48" i="2" s="1"/>
  <c r="AA48" i="2"/>
  <c r="AD48" i="2" s="1"/>
  <c r="AG48" i="2" s="1"/>
  <c r="AB185" i="2"/>
  <c r="AE185" i="2" s="1"/>
  <c r="V185" i="2"/>
  <c r="AA185" i="2"/>
  <c r="Z185" i="2"/>
  <c r="W185" i="2"/>
  <c r="Y185" i="2"/>
  <c r="X185" i="2"/>
  <c r="AD185" i="2"/>
  <c r="AG185" i="2" s="1"/>
  <c r="AC185" i="2"/>
  <c r="AF185" i="2" s="1"/>
  <c r="AL92" i="2"/>
  <c r="AJ92" i="2"/>
  <c r="AM92" i="2" s="1"/>
  <c r="AH200" i="2"/>
  <c r="AI200" i="2" s="1"/>
  <c r="O156" i="2"/>
  <c r="AH127" i="2"/>
  <c r="AI127" i="2" s="1"/>
  <c r="AH97" i="2"/>
  <c r="AI97" i="2" s="1"/>
  <c r="AH158" i="2"/>
  <c r="AI158" i="2" s="1"/>
  <c r="AJ194" i="2"/>
  <c r="AM194" i="2" s="1"/>
  <c r="AL194" i="2"/>
  <c r="X94" i="10"/>
  <c r="AB173" i="10"/>
  <c r="AE173" i="10" s="1"/>
  <c r="Y173" i="10"/>
  <c r="U72" i="10"/>
  <c r="V72" i="10" s="1"/>
  <c r="X72" i="10" s="1"/>
  <c r="U71" i="10"/>
  <c r="AA71" i="10" s="1"/>
  <c r="AD71" i="10" s="1"/>
  <c r="AG71" i="10" s="1"/>
  <c r="Y94" i="10"/>
  <c r="AB94" i="10"/>
  <c r="AE94" i="10" s="1"/>
  <c r="AJ58" i="10"/>
  <c r="AL58" i="10"/>
  <c r="AK58" i="10"/>
  <c r="Y171" i="10"/>
  <c r="Z171" i="10" s="1"/>
  <c r="AC171" i="10" s="1"/>
  <c r="AF171" i="10" s="1"/>
  <c r="AB171" i="10"/>
  <c r="AE171" i="10" s="1"/>
  <c r="AL192" i="10"/>
  <c r="AJ192" i="10"/>
  <c r="AK192" i="10"/>
  <c r="AA174" i="10"/>
  <c r="AD174" i="10" s="1"/>
  <c r="AG174" i="10" s="1"/>
  <c r="U174" i="10"/>
  <c r="V174" i="10" s="1"/>
  <c r="AB193" i="10"/>
  <c r="AE193" i="10" s="1"/>
  <c r="Y193" i="10"/>
  <c r="Z193" i="10" s="1"/>
  <c r="AC193" i="10" s="1"/>
  <c r="AF193" i="10" s="1"/>
  <c r="AJ64" i="10"/>
  <c r="AL191" i="10"/>
  <c r="AJ191" i="10"/>
  <c r="AK191" i="10"/>
  <c r="U95" i="10"/>
  <c r="AA95" i="10" s="1"/>
  <c r="AD95" i="10" s="1"/>
  <c r="AG95" i="10" s="1"/>
  <c r="Y65" i="10"/>
  <c r="Z65" i="10" s="1"/>
  <c r="AC65" i="10" s="1"/>
  <c r="AF65" i="10" s="1"/>
  <c r="AB65" i="10"/>
  <c r="AE65" i="10" s="1"/>
  <c r="X173" i="10"/>
  <c r="V70" i="10"/>
  <c r="AA70" i="10"/>
  <c r="AD70" i="10" s="1"/>
  <c r="AG70" i="10" s="1"/>
  <c r="Y84" i="10"/>
  <c r="Z84" i="10" s="1"/>
  <c r="AC84" i="10" s="1"/>
  <c r="AF84" i="10" s="1"/>
  <c r="AB84" i="10"/>
  <c r="AE84" i="10" s="1"/>
  <c r="AM163" i="10"/>
  <c r="AO163" i="10" s="1"/>
  <c r="Y69" i="10"/>
  <c r="Z69" i="10" s="1"/>
  <c r="AC69" i="10" s="1"/>
  <c r="AF69" i="10" s="1"/>
  <c r="AB69" i="10"/>
  <c r="AE69" i="10" s="1"/>
  <c r="V66" i="10"/>
  <c r="AA66" i="10"/>
  <c r="AD66" i="10" s="1"/>
  <c r="AG66" i="10" s="1"/>
  <c r="V169" i="10"/>
  <c r="AA169" i="10"/>
  <c r="AD169" i="10" s="1"/>
  <c r="AG169" i="10" s="1"/>
  <c r="W199" i="10"/>
  <c r="Y60" i="10"/>
  <c r="Z60" i="10" s="1"/>
  <c r="AC60" i="10" s="1"/>
  <c r="AF60" i="10" s="1"/>
  <c r="AB60" i="10"/>
  <c r="AE60" i="10" s="1"/>
  <c r="AA175" i="10"/>
  <c r="AD175" i="10" s="1"/>
  <c r="AG175" i="10" s="1"/>
  <c r="V175" i="10"/>
  <c r="X175" i="10" s="1"/>
  <c r="U175" i="10"/>
  <c r="AH196" i="10"/>
  <c r="AI196" i="10" s="1"/>
  <c r="K102" i="10"/>
  <c r="L101" i="10"/>
  <c r="M101" i="10" s="1"/>
  <c r="N101" i="10" s="1"/>
  <c r="AK162" i="10"/>
  <c r="AM186" i="10"/>
  <c r="AO186" i="10" s="1"/>
  <c r="R96" i="10"/>
  <c r="S96" i="10" s="1"/>
  <c r="T96" i="10" s="1"/>
  <c r="AB172" i="10"/>
  <c r="AE172" i="10" s="1"/>
  <c r="Y172" i="10"/>
  <c r="Z172" i="10" s="1"/>
  <c r="AC172" i="10" s="1"/>
  <c r="AF172" i="10" s="1"/>
  <c r="Y168" i="10"/>
  <c r="Z168" i="10" s="1"/>
  <c r="AC168" i="10" s="1"/>
  <c r="AF168" i="10" s="1"/>
  <c r="AB168" i="10"/>
  <c r="AE168" i="10" s="1"/>
  <c r="Y88" i="10"/>
  <c r="Z88" i="10" s="1"/>
  <c r="AC88" i="10" s="1"/>
  <c r="AF88" i="10" s="1"/>
  <c r="AB88" i="10"/>
  <c r="AE88" i="10" s="1"/>
  <c r="Y197" i="10"/>
  <c r="Z197" i="10" s="1"/>
  <c r="AC197" i="10" s="1"/>
  <c r="AF197" i="10" s="1"/>
  <c r="AB197" i="10"/>
  <c r="AE197" i="10" s="1"/>
  <c r="X89" i="10"/>
  <c r="W89" i="10"/>
  <c r="AH83" i="10"/>
  <c r="AI83" i="10" s="1"/>
  <c r="AH59" i="10"/>
  <c r="AI59" i="10" s="1"/>
  <c r="AJ187" i="10"/>
  <c r="AL187" i="10"/>
  <c r="AK187" i="10"/>
  <c r="AB167" i="10"/>
  <c r="AE167" i="10" s="1"/>
  <c r="Y167" i="10"/>
  <c r="Z167" i="10" s="1"/>
  <c r="AC167" i="10" s="1"/>
  <c r="AF167" i="10" s="1"/>
  <c r="X198" i="10"/>
  <c r="W198" i="10"/>
  <c r="AA94" i="10"/>
  <c r="AD94" i="10" s="1"/>
  <c r="AG94" i="10" s="1"/>
  <c r="Y93" i="10"/>
  <c r="Z93" i="10" s="1"/>
  <c r="AC93" i="10" s="1"/>
  <c r="AF93" i="10" s="1"/>
  <c r="AB93" i="10"/>
  <c r="AE93" i="10" s="1"/>
  <c r="V90" i="10"/>
  <c r="AA90" i="10"/>
  <c r="AD90" i="10" s="1"/>
  <c r="AG90" i="10" s="1"/>
  <c r="R4" i="3"/>
  <c r="AM126" i="2"/>
  <c r="AM176" i="2"/>
  <c r="AM195" i="2"/>
  <c r="AM91" i="2"/>
  <c r="P190" i="2"/>
  <c r="S159" i="2"/>
  <c r="T159" i="2" s="1"/>
  <c r="R159" i="2"/>
  <c r="K76" i="2"/>
  <c r="L75" i="2"/>
  <c r="M75" i="2" s="1"/>
  <c r="I26" i="2"/>
  <c r="I27" i="2" s="1"/>
  <c r="I28" i="2" s="1"/>
  <c r="K52" i="2"/>
  <c r="L51" i="2"/>
  <c r="M51" i="2" s="1"/>
  <c r="P160" i="2"/>
  <c r="Q160" i="2"/>
  <c r="I163" i="2"/>
  <c r="J162" i="2"/>
  <c r="P156" i="2"/>
  <c r="Q156" i="2" s="1"/>
  <c r="K182" i="2"/>
  <c r="L181" i="2"/>
  <c r="M181" i="2" s="1"/>
  <c r="N181" i="2" s="1"/>
  <c r="I171" i="2"/>
  <c r="J166" i="2"/>
  <c r="I167" i="2"/>
  <c r="K158" i="2"/>
  <c r="L157" i="2"/>
  <c r="M157" i="2" s="1"/>
  <c r="N157" i="2" s="1"/>
  <c r="K31" i="2"/>
  <c r="L30" i="2"/>
  <c r="M30" i="2" s="1"/>
  <c r="Q190" i="2"/>
  <c r="N23" i="2"/>
  <c r="F24" i="2"/>
  <c r="AO186" i="11" l="1"/>
  <c r="W74" i="12"/>
  <c r="AB74" i="12" s="1"/>
  <c r="AE74" i="12" s="1"/>
  <c r="AB70" i="11"/>
  <c r="AE70" i="11" s="1"/>
  <c r="AH184" i="11"/>
  <c r="AI184" i="11" s="1"/>
  <c r="AJ184" i="11" s="1"/>
  <c r="AM184" i="11" s="1"/>
  <c r="AO184" i="11" s="1"/>
  <c r="Y84" i="12"/>
  <c r="Z84" i="12" s="1"/>
  <c r="AC84" i="12" s="1"/>
  <c r="AF84" i="12" s="1"/>
  <c r="AH49" i="11"/>
  <c r="AI49" i="11" s="1"/>
  <c r="AH81" i="11"/>
  <c r="AI81" i="11" s="1"/>
  <c r="X61" i="12"/>
  <c r="AK51" i="10"/>
  <c r="AJ51" i="10"/>
  <c r="AM51" i="10" s="1"/>
  <c r="AO51" i="10" s="1"/>
  <c r="AL51" i="10"/>
  <c r="X93" i="12"/>
  <c r="W93" i="12"/>
  <c r="Y90" i="11"/>
  <c r="Y94" i="12"/>
  <c r="Z94" i="12" s="1"/>
  <c r="AC94" i="12" s="1"/>
  <c r="AF94" i="12" s="1"/>
  <c r="AH79" i="11"/>
  <c r="AI79" i="11" s="1"/>
  <c r="AJ79" i="11" s="1"/>
  <c r="AM79" i="11" s="1"/>
  <c r="AH52" i="10"/>
  <c r="AI52" i="10" s="1"/>
  <c r="AH60" i="12"/>
  <c r="AI60" i="12" s="1"/>
  <c r="AA89" i="12"/>
  <c r="AD89" i="12" s="1"/>
  <c r="AG89" i="12" s="1"/>
  <c r="AH94" i="12"/>
  <c r="AI94" i="12" s="1"/>
  <c r="AK94" i="12" s="1"/>
  <c r="X95" i="12"/>
  <c r="AM53" i="12"/>
  <c r="AL64" i="10"/>
  <c r="Y66" i="11"/>
  <c r="Z66" i="11" s="1"/>
  <c r="AC66" i="11" s="1"/>
  <c r="AF66" i="11" s="1"/>
  <c r="AH66" i="11" s="1"/>
  <c r="AI66" i="11" s="1"/>
  <c r="V99" i="10"/>
  <c r="X99" i="10" s="1"/>
  <c r="W62" i="12"/>
  <c r="AB62" i="12" s="1"/>
  <c r="AE62" i="12" s="1"/>
  <c r="AB70" i="12"/>
  <c r="AE70" i="12" s="1"/>
  <c r="R24" i="11"/>
  <c r="S24" i="11" s="1"/>
  <c r="T24" i="11" s="1"/>
  <c r="W24" i="11" s="1"/>
  <c r="X65" i="12"/>
  <c r="AH102" i="10"/>
  <c r="AI102" i="10" s="1"/>
  <c r="AH108" i="12"/>
  <c r="AI108" i="12" s="1"/>
  <c r="AM58" i="12"/>
  <c r="AH76" i="10"/>
  <c r="AI76" i="10" s="1"/>
  <c r="AB61" i="12"/>
  <c r="AE61" i="12" s="1"/>
  <c r="Y61" i="12"/>
  <c r="U24" i="10"/>
  <c r="V24" i="10" s="1"/>
  <c r="U66" i="12"/>
  <c r="AA57" i="12"/>
  <c r="AD57" i="12" s="1"/>
  <c r="AG57" i="12" s="1"/>
  <c r="V91" i="12"/>
  <c r="X91" i="12" s="1"/>
  <c r="U71" i="12"/>
  <c r="AA72" i="12"/>
  <c r="AD72" i="12" s="1"/>
  <c r="AG72" i="12" s="1"/>
  <c r="W90" i="12"/>
  <c r="X90" i="12"/>
  <c r="AA56" i="12"/>
  <c r="AD56" i="12" s="1"/>
  <c r="AG56" i="12" s="1"/>
  <c r="U25" i="10"/>
  <c r="V25" i="10" s="1"/>
  <c r="AA25" i="10"/>
  <c r="AD25" i="10" s="1"/>
  <c r="AG25" i="10" s="1"/>
  <c r="Y23" i="12"/>
  <c r="AB23" i="12"/>
  <c r="AE23" i="12" s="1"/>
  <c r="Y65" i="12"/>
  <c r="Z65" i="12" s="1"/>
  <c r="AC65" i="12" s="1"/>
  <c r="AF65" i="12" s="1"/>
  <c r="AB65" i="12"/>
  <c r="AE65" i="12" s="1"/>
  <c r="AH65" i="12" s="1"/>
  <c r="AI65" i="12" s="1"/>
  <c r="AB95" i="12"/>
  <c r="AE95" i="12" s="1"/>
  <c r="Y95" i="12"/>
  <c r="Z95" i="12" s="1"/>
  <c r="AC95" i="12" s="1"/>
  <c r="AF95" i="12" s="1"/>
  <c r="X89" i="12"/>
  <c r="W89" i="12"/>
  <c r="U28" i="12"/>
  <c r="AA67" i="12"/>
  <c r="AD67" i="12" s="1"/>
  <c r="AG67" i="12" s="1"/>
  <c r="AJ63" i="11"/>
  <c r="W68" i="12"/>
  <c r="X68" i="12"/>
  <c r="AM182" i="11"/>
  <c r="AA51" i="11"/>
  <c r="AD51" i="11" s="1"/>
  <c r="AG51" i="11" s="1"/>
  <c r="V51" i="11"/>
  <c r="AH56" i="10"/>
  <c r="AI56" i="10" s="1"/>
  <c r="P29" i="10"/>
  <c r="AP151" i="12"/>
  <c r="Y62" i="12"/>
  <c r="Z62" i="12" s="1"/>
  <c r="AC62" i="12" s="1"/>
  <c r="AF62" i="12" s="1"/>
  <c r="AH62" i="12" s="1"/>
  <c r="AI62" i="12" s="1"/>
  <c r="W52" i="11"/>
  <c r="AL69" i="12"/>
  <c r="AJ69" i="12"/>
  <c r="AK69" i="12"/>
  <c r="AN183" i="12"/>
  <c r="AO183" i="12" s="1"/>
  <c r="AN193" i="12"/>
  <c r="AO193" i="12" s="1"/>
  <c r="AN188" i="12"/>
  <c r="AO188" i="12" s="1"/>
  <c r="AN198" i="12"/>
  <c r="AO198" i="12" s="1"/>
  <c r="AN178" i="12"/>
  <c r="H122" i="12"/>
  <c r="J122" i="12" s="1"/>
  <c r="N122" i="12" s="1"/>
  <c r="O122" i="12" s="1"/>
  <c r="J121" i="12"/>
  <c r="N121" i="12" s="1"/>
  <c r="O121" i="12" s="1"/>
  <c r="AJ175" i="12"/>
  <c r="AM175" i="12" s="1"/>
  <c r="AO175" i="12" s="1"/>
  <c r="AL175" i="12"/>
  <c r="J31" i="11"/>
  <c r="N31" i="11" s="1"/>
  <c r="F36" i="11"/>
  <c r="H139" i="12"/>
  <c r="J138" i="12"/>
  <c r="H129" i="12"/>
  <c r="J128" i="12"/>
  <c r="X23" i="12"/>
  <c r="R77" i="11"/>
  <c r="S77" i="11"/>
  <c r="T77" i="11" s="1"/>
  <c r="Q114" i="12"/>
  <c r="R114" i="12" s="1"/>
  <c r="S114" i="12" s="1"/>
  <c r="T114" i="12" s="1"/>
  <c r="V88" i="11"/>
  <c r="X78" i="12"/>
  <c r="W78" i="12"/>
  <c r="O100" i="12"/>
  <c r="F36" i="12"/>
  <c r="J31" i="12"/>
  <c r="N31" i="12" s="1"/>
  <c r="Q25" i="11"/>
  <c r="P25" i="11"/>
  <c r="U25" i="11"/>
  <c r="P29" i="12"/>
  <c r="Q29" i="12" s="1"/>
  <c r="R29" i="12" s="1"/>
  <c r="S29" i="12" s="1"/>
  <c r="T29" i="12" s="1"/>
  <c r="P52" i="12"/>
  <c r="Q52" i="12" s="1"/>
  <c r="R52" i="12" s="1"/>
  <c r="S52" i="12" s="1"/>
  <c r="T52" i="12" s="1"/>
  <c r="U52" i="12" s="1"/>
  <c r="AM48" i="11"/>
  <c r="V75" i="11"/>
  <c r="X75" i="11"/>
  <c r="W75" i="11"/>
  <c r="AB75" i="11"/>
  <c r="AE75" i="11" s="1"/>
  <c r="Y75" i="11"/>
  <c r="Z75" i="11" s="1"/>
  <c r="AC75" i="11" s="1"/>
  <c r="AF75" i="11" s="1"/>
  <c r="R24" i="12"/>
  <c r="S24" i="12"/>
  <c r="T24" i="12" s="1"/>
  <c r="AJ156" i="12"/>
  <c r="AM156" i="12" s="1"/>
  <c r="AO156" i="12" s="1"/>
  <c r="AL156" i="12"/>
  <c r="AK156" i="12"/>
  <c r="F44" i="10"/>
  <c r="J44" i="10" s="1"/>
  <c r="N44" i="10" s="1"/>
  <c r="O44" i="10" s="1"/>
  <c r="J39" i="10"/>
  <c r="N39" i="10" s="1"/>
  <c r="O39" i="10" s="1"/>
  <c r="Y63" i="12"/>
  <c r="Z63" i="12" s="1"/>
  <c r="AC63" i="12" s="1"/>
  <c r="AF63" i="12" s="1"/>
  <c r="AB63" i="12"/>
  <c r="AE63" i="12" s="1"/>
  <c r="Y80" i="12"/>
  <c r="Z80" i="12" s="1"/>
  <c r="AC80" i="12" s="1"/>
  <c r="AF80" i="12" s="1"/>
  <c r="AB80" i="12"/>
  <c r="AE80" i="12" s="1"/>
  <c r="AH82" i="11"/>
  <c r="AI82" i="11" s="1"/>
  <c r="Y55" i="12"/>
  <c r="AK26" i="10"/>
  <c r="O26" i="10"/>
  <c r="X50" i="12"/>
  <c r="V103" i="12"/>
  <c r="AJ160" i="12"/>
  <c r="AM160" i="12" s="1"/>
  <c r="AO160" i="12" s="1"/>
  <c r="AL160" i="12"/>
  <c r="O30" i="11"/>
  <c r="AK30" i="11"/>
  <c r="U96" i="12"/>
  <c r="O102" i="11"/>
  <c r="P102" i="11" s="1"/>
  <c r="U23" i="11"/>
  <c r="V56" i="12"/>
  <c r="W56" i="12" s="1"/>
  <c r="H144" i="12"/>
  <c r="J143" i="12"/>
  <c r="Q33" i="11"/>
  <c r="R33" i="11" s="1"/>
  <c r="S33" i="11" s="1"/>
  <c r="T33" i="11" s="1"/>
  <c r="Y74" i="12"/>
  <c r="Z74" i="12" s="1"/>
  <c r="AC74" i="12" s="1"/>
  <c r="AF74" i="12" s="1"/>
  <c r="AH74" i="12" s="1"/>
  <c r="AI74" i="12" s="1"/>
  <c r="Q119" i="12"/>
  <c r="R119" i="12" s="1"/>
  <c r="S119" i="12" s="1"/>
  <c r="T119" i="12" s="1"/>
  <c r="V82" i="12"/>
  <c r="AD82" i="12"/>
  <c r="AG82" i="12" s="1"/>
  <c r="Y82" i="12"/>
  <c r="Z82" i="12"/>
  <c r="W82" i="12"/>
  <c r="AA82" i="12"/>
  <c r="X82" i="12"/>
  <c r="AC82" i="12"/>
  <c r="AF82" i="12" s="1"/>
  <c r="AB82" i="12"/>
  <c r="AE82" i="12" s="1"/>
  <c r="H102" i="12"/>
  <c r="J102" i="12" s="1"/>
  <c r="N102" i="12" s="1"/>
  <c r="J101" i="12"/>
  <c r="N101" i="12" s="1"/>
  <c r="R77" i="12"/>
  <c r="S77" i="12"/>
  <c r="T77" i="12" s="1"/>
  <c r="U87" i="12"/>
  <c r="AJ64" i="12"/>
  <c r="AL64" i="12"/>
  <c r="AK64" i="12"/>
  <c r="V67" i="12"/>
  <c r="X67" i="12" s="1"/>
  <c r="AL49" i="11"/>
  <c r="AJ49" i="11"/>
  <c r="AK49" i="11"/>
  <c r="U118" i="12"/>
  <c r="AA118" i="12" s="1"/>
  <c r="AD118" i="12" s="1"/>
  <c r="AG118" i="12" s="1"/>
  <c r="AK184" i="11"/>
  <c r="V72" i="12"/>
  <c r="X72" i="12" s="1"/>
  <c r="P33" i="12"/>
  <c r="AJ170" i="12"/>
  <c r="AM170" i="12" s="1"/>
  <c r="AO170" i="12" s="1"/>
  <c r="AL170" i="12"/>
  <c r="O30" i="12"/>
  <c r="AK30" i="12"/>
  <c r="P105" i="12"/>
  <c r="AH81" i="12"/>
  <c r="AI81" i="12" s="1"/>
  <c r="W56" i="11"/>
  <c r="X56" i="11"/>
  <c r="AL172" i="12"/>
  <c r="AJ172" i="12"/>
  <c r="AM172" i="12" s="1"/>
  <c r="AO172" i="12" s="1"/>
  <c r="AK172" i="12"/>
  <c r="AA91" i="12"/>
  <c r="AD91" i="12" s="1"/>
  <c r="AG91" i="12" s="1"/>
  <c r="W91" i="12"/>
  <c r="Y91" i="12" s="1"/>
  <c r="Z91" i="12" s="1"/>
  <c r="AC91" i="12" s="1"/>
  <c r="AF91" i="12" s="1"/>
  <c r="V113" i="12"/>
  <c r="AK102" i="10"/>
  <c r="AL102" i="10"/>
  <c r="AJ102" i="10"/>
  <c r="AM102" i="10" s="1"/>
  <c r="X55" i="12"/>
  <c r="F32" i="10"/>
  <c r="J27" i="10"/>
  <c r="N27" i="10" s="1"/>
  <c r="Y59" i="12"/>
  <c r="Z59" i="12" s="1"/>
  <c r="AC59" i="12" s="1"/>
  <c r="AF59" i="12" s="1"/>
  <c r="AB59" i="12"/>
  <c r="AE59" i="12" s="1"/>
  <c r="AL108" i="12"/>
  <c r="AJ108" i="12"/>
  <c r="AK108" i="12"/>
  <c r="AL162" i="10"/>
  <c r="Y92" i="10"/>
  <c r="Z92" i="10" s="1"/>
  <c r="AC92" i="10" s="1"/>
  <c r="AF92" i="10" s="1"/>
  <c r="AH92" i="10" s="1"/>
  <c r="AI92" i="10" s="1"/>
  <c r="AM189" i="10"/>
  <c r="AH84" i="12"/>
  <c r="AI84" i="12" s="1"/>
  <c r="P25" i="12"/>
  <c r="Q25" i="12"/>
  <c r="U25" i="12"/>
  <c r="F40" i="11"/>
  <c r="J35" i="11"/>
  <c r="N35" i="11" s="1"/>
  <c r="O35" i="11" s="1"/>
  <c r="H131" i="11"/>
  <c r="J130" i="11"/>
  <c r="P38" i="11"/>
  <c r="Z70" i="12"/>
  <c r="AC70" i="12" s="1"/>
  <c r="AF70" i="12" s="1"/>
  <c r="AH70" i="12" s="1"/>
  <c r="AI70" i="12" s="1"/>
  <c r="P115" i="12"/>
  <c r="Q115" i="12" s="1"/>
  <c r="R115" i="12" s="1"/>
  <c r="S115" i="12" s="1"/>
  <c r="T115" i="12" s="1"/>
  <c r="AB86" i="12"/>
  <c r="AE86" i="12" s="1"/>
  <c r="AH86" i="12" s="1"/>
  <c r="AI86" i="12" s="1"/>
  <c r="W92" i="12"/>
  <c r="J39" i="11"/>
  <c r="N39" i="11" s="1"/>
  <c r="F44" i="11"/>
  <c r="J44" i="11" s="1"/>
  <c r="N44" i="11" s="1"/>
  <c r="O44" i="11" s="1"/>
  <c r="AK26" i="11"/>
  <c r="O26" i="11"/>
  <c r="O34" i="12"/>
  <c r="H135" i="12"/>
  <c r="J134" i="12"/>
  <c r="AD75" i="12"/>
  <c r="AG75" i="12" s="1"/>
  <c r="V75" i="12"/>
  <c r="W75" i="12"/>
  <c r="Y75" i="12"/>
  <c r="AA75" i="12"/>
  <c r="Z75" i="12"/>
  <c r="X75" i="12"/>
  <c r="AC75" i="12"/>
  <c r="AF75" i="12" s="1"/>
  <c r="AB75" i="12"/>
  <c r="AE75" i="12" s="1"/>
  <c r="X80" i="11"/>
  <c r="W80" i="11"/>
  <c r="O38" i="12"/>
  <c r="O26" i="12"/>
  <c r="AK26" i="12"/>
  <c r="V76" i="11"/>
  <c r="AH75" i="10"/>
  <c r="AI75" i="10" s="1"/>
  <c r="O30" i="10"/>
  <c r="S76" i="12"/>
  <c r="T76" i="12" s="1"/>
  <c r="R76" i="12"/>
  <c r="AM48" i="12"/>
  <c r="AB50" i="11"/>
  <c r="AE50" i="11" s="1"/>
  <c r="Y50" i="11"/>
  <c r="Z50" i="11" s="1"/>
  <c r="AC50" i="11" s="1"/>
  <c r="AF50" i="11" s="1"/>
  <c r="AM176" i="12"/>
  <c r="AH55" i="11"/>
  <c r="AI55" i="11" s="1"/>
  <c r="F40" i="12"/>
  <c r="J35" i="12"/>
  <c r="N35" i="12" s="1"/>
  <c r="H107" i="12"/>
  <c r="J107" i="12" s="1"/>
  <c r="N107" i="12" s="1"/>
  <c r="J106" i="12"/>
  <c r="N106" i="12" s="1"/>
  <c r="AM54" i="10"/>
  <c r="O38" i="10"/>
  <c r="F36" i="10"/>
  <c r="J31" i="10"/>
  <c r="N31" i="10" s="1"/>
  <c r="V49" i="12"/>
  <c r="AA49" i="12"/>
  <c r="AD49" i="12" s="1"/>
  <c r="AG49" i="12" s="1"/>
  <c r="V109" i="12"/>
  <c r="V83" i="12"/>
  <c r="Y50" i="12"/>
  <c r="P29" i="11"/>
  <c r="Q29" i="11" s="1"/>
  <c r="R29" i="11" s="1"/>
  <c r="S29" i="11" s="1"/>
  <c r="T29" i="11" s="1"/>
  <c r="U29" i="11" s="1"/>
  <c r="P104" i="12"/>
  <c r="V97" i="12"/>
  <c r="X97" i="12" s="1"/>
  <c r="AA97" i="12"/>
  <c r="AD97" i="12" s="1"/>
  <c r="AG97" i="12" s="1"/>
  <c r="P43" i="11"/>
  <c r="Q33" i="10"/>
  <c r="R33" i="10" s="1"/>
  <c r="S33" i="10" s="1"/>
  <c r="T33" i="10" s="1"/>
  <c r="P120" i="12"/>
  <c r="H117" i="12"/>
  <c r="J117" i="12" s="1"/>
  <c r="N117" i="12" s="1"/>
  <c r="O117" i="12" s="1"/>
  <c r="J116" i="12"/>
  <c r="N116" i="12" s="1"/>
  <c r="O116" i="12" s="1"/>
  <c r="X57" i="11"/>
  <c r="W57" i="11"/>
  <c r="X98" i="12"/>
  <c r="W98" i="12"/>
  <c r="P34" i="11"/>
  <c r="AN187" i="10"/>
  <c r="AN182" i="10"/>
  <c r="AO182" i="10" s="1"/>
  <c r="AN197" i="10"/>
  <c r="AN177" i="10"/>
  <c r="AO177" i="10" s="1"/>
  <c r="AP176" i="10" s="1"/>
  <c r="AN192" i="10"/>
  <c r="AA51" i="12"/>
  <c r="AD51" i="12" s="1"/>
  <c r="AG51" i="12" s="1"/>
  <c r="V51" i="12"/>
  <c r="X51" i="12" s="1"/>
  <c r="F32" i="11"/>
  <c r="J27" i="11"/>
  <c r="N27" i="11" s="1"/>
  <c r="F44" i="12"/>
  <c r="J44" i="12" s="1"/>
  <c r="N44" i="12" s="1"/>
  <c r="J39" i="12"/>
  <c r="N39" i="12" s="1"/>
  <c r="O39" i="12" s="1"/>
  <c r="H124" i="12"/>
  <c r="J123" i="12"/>
  <c r="N123" i="12" s="1"/>
  <c r="O123" i="12" s="1"/>
  <c r="P88" i="12"/>
  <c r="Q88" i="12" s="1"/>
  <c r="R88" i="12" s="1"/>
  <c r="S88" i="12" s="1"/>
  <c r="T88" i="12" s="1"/>
  <c r="U88" i="12" s="1"/>
  <c r="AN187" i="11"/>
  <c r="AO187" i="11" s="1"/>
  <c r="AN182" i="11"/>
  <c r="AN192" i="11"/>
  <c r="AO192" i="11" s="1"/>
  <c r="AN197" i="11"/>
  <c r="AN177" i="11"/>
  <c r="AO177" i="11" s="1"/>
  <c r="AP176" i="11" s="1"/>
  <c r="AJ174" i="12"/>
  <c r="AM174" i="12" s="1"/>
  <c r="AO174" i="12" s="1"/>
  <c r="AP171" i="12" s="1"/>
  <c r="AL174" i="12"/>
  <c r="AK52" i="10"/>
  <c r="AJ52" i="10"/>
  <c r="AM52" i="10" s="1"/>
  <c r="AO52" i="10" s="1"/>
  <c r="AL52" i="10"/>
  <c r="W54" i="12"/>
  <c r="X54" i="12"/>
  <c r="O43" i="12"/>
  <c r="F32" i="12"/>
  <c r="J27" i="12"/>
  <c r="N27" i="12" s="1"/>
  <c r="U28" i="11"/>
  <c r="AA28" i="11" s="1"/>
  <c r="AD28" i="11" s="1"/>
  <c r="AG28" i="11" s="1"/>
  <c r="Q28" i="10"/>
  <c r="R28" i="10" s="1"/>
  <c r="S28" i="10" s="1"/>
  <c r="T28" i="10" s="1"/>
  <c r="X76" i="11"/>
  <c r="AA76" i="11"/>
  <c r="AD76" i="11" s="1"/>
  <c r="AG76" i="11" s="1"/>
  <c r="W76" i="11"/>
  <c r="Y76" i="11"/>
  <c r="Z76" i="11" s="1"/>
  <c r="AC76" i="11" s="1"/>
  <c r="AF76" i="11" s="1"/>
  <c r="AB76" i="11"/>
  <c r="AE76" i="11" s="1"/>
  <c r="X24" i="11"/>
  <c r="F40" i="10"/>
  <c r="J35" i="10"/>
  <c r="N35" i="10" s="1"/>
  <c r="AK54" i="11"/>
  <c r="AL54" i="11"/>
  <c r="AJ54" i="11"/>
  <c r="AL60" i="12"/>
  <c r="AJ60" i="12"/>
  <c r="AK60" i="12"/>
  <c r="AA99" i="12"/>
  <c r="AD99" i="12" s="1"/>
  <c r="AG99" i="12" s="1"/>
  <c r="W99" i="12"/>
  <c r="AB99" i="12" s="1"/>
  <c r="AE99" i="12" s="1"/>
  <c r="Y85" i="12"/>
  <c r="Z85" i="12" s="1"/>
  <c r="AC85" i="12" s="1"/>
  <c r="AF85" i="12" s="1"/>
  <c r="AB85" i="12"/>
  <c r="AE85" i="12" s="1"/>
  <c r="O34" i="10"/>
  <c r="V57" i="12"/>
  <c r="X57" i="12" s="1"/>
  <c r="AL81" i="11"/>
  <c r="AJ81" i="11"/>
  <c r="AM81" i="11" s="1"/>
  <c r="AO81" i="11" s="1"/>
  <c r="P43" i="10"/>
  <c r="AJ169" i="12"/>
  <c r="AM169" i="12" s="1"/>
  <c r="AO169" i="12" s="1"/>
  <c r="AL169" i="12"/>
  <c r="AA113" i="12"/>
  <c r="AD113" i="12" s="1"/>
  <c r="AG113" i="12" s="1"/>
  <c r="U23" i="10"/>
  <c r="V23" i="10" s="1"/>
  <c r="AA75" i="11"/>
  <c r="AD75" i="11" s="1"/>
  <c r="AG75" i="11" s="1"/>
  <c r="Y79" i="12"/>
  <c r="Z79" i="12" s="1"/>
  <c r="AC79" i="12" s="1"/>
  <c r="AF79" i="12" s="1"/>
  <c r="AB79" i="12"/>
  <c r="AE79" i="12" s="1"/>
  <c r="AA90" i="12"/>
  <c r="AD90" i="12" s="1"/>
  <c r="AG90" i="12" s="1"/>
  <c r="AA83" i="12"/>
  <c r="AD83" i="12" s="1"/>
  <c r="AG83" i="12" s="1"/>
  <c r="V74" i="11"/>
  <c r="AM110" i="12"/>
  <c r="Z87" i="10"/>
  <c r="AC87" i="10" s="1"/>
  <c r="AF87" i="10" s="1"/>
  <c r="AH87" i="10" s="1"/>
  <c r="AI87" i="10" s="1"/>
  <c r="AH180" i="2"/>
  <c r="AI180" i="2" s="1"/>
  <c r="X48" i="2"/>
  <c r="Z48" i="2" s="1"/>
  <c r="AC48" i="2" s="1"/>
  <c r="AF48" i="2" s="1"/>
  <c r="AH48" i="2" s="1"/>
  <c r="AI48" i="2" s="1"/>
  <c r="V97" i="10"/>
  <c r="X97" i="10" s="1"/>
  <c r="AH86" i="10"/>
  <c r="AI86" i="10" s="1"/>
  <c r="AL86" i="10" s="1"/>
  <c r="AM62" i="10"/>
  <c r="X91" i="10"/>
  <c r="W91" i="10"/>
  <c r="AN199" i="11"/>
  <c r="AN179" i="11"/>
  <c r="AN194" i="11"/>
  <c r="AN184" i="11"/>
  <c r="AN189" i="11"/>
  <c r="AL84" i="11"/>
  <c r="Q100" i="10"/>
  <c r="R100" i="10" s="1"/>
  <c r="S100" i="10" s="1"/>
  <c r="T100" i="10" s="1"/>
  <c r="AJ92" i="10"/>
  <c r="AL92" i="10"/>
  <c r="O101" i="10"/>
  <c r="P101" i="10" s="1"/>
  <c r="AH197" i="11"/>
  <c r="AI197" i="11" s="1"/>
  <c r="X90" i="11"/>
  <c r="Z90" i="11" s="1"/>
  <c r="AC90" i="11" s="1"/>
  <c r="AF90" i="11" s="1"/>
  <c r="AH90" i="11" s="1"/>
  <c r="AI90" i="11" s="1"/>
  <c r="AK84" i="11"/>
  <c r="AK92" i="10"/>
  <c r="Y98" i="10"/>
  <c r="Z98" i="10" s="1"/>
  <c r="AC98" i="10" s="1"/>
  <c r="AF98" i="10" s="1"/>
  <c r="AB98" i="10"/>
  <c r="AE98" i="10" s="1"/>
  <c r="AH194" i="10"/>
  <c r="AI194" i="10" s="1"/>
  <c r="W97" i="10"/>
  <c r="W99" i="10"/>
  <c r="AH195" i="10"/>
  <c r="AI195" i="10" s="1"/>
  <c r="AM161" i="10"/>
  <c r="AO161" i="10" s="1"/>
  <c r="Z70" i="11"/>
  <c r="AC70" i="11" s="1"/>
  <c r="AF70" i="11" s="1"/>
  <c r="AH70" i="11" s="1"/>
  <c r="AI70" i="11" s="1"/>
  <c r="AA199" i="11"/>
  <c r="AD199" i="11" s="1"/>
  <c r="AG199" i="11" s="1"/>
  <c r="V200" i="11"/>
  <c r="X200" i="11" s="1"/>
  <c r="Z198" i="11"/>
  <c r="AC198" i="11" s="1"/>
  <c r="AF198" i="11" s="1"/>
  <c r="AJ111" i="12"/>
  <c r="AL111" i="12"/>
  <c r="AK111" i="12"/>
  <c r="X112" i="12"/>
  <c r="W112" i="12"/>
  <c r="L128" i="12"/>
  <c r="M128" i="12" s="1"/>
  <c r="N128" i="12" s="1"/>
  <c r="K129" i="12"/>
  <c r="Y94" i="11"/>
  <c r="X94" i="11"/>
  <c r="Y189" i="11"/>
  <c r="Z189" i="11" s="1"/>
  <c r="AC189" i="11" s="1"/>
  <c r="AF189" i="11" s="1"/>
  <c r="AB189" i="11"/>
  <c r="AE189" i="11" s="1"/>
  <c r="AH196" i="11"/>
  <c r="AI196" i="11" s="1"/>
  <c r="AH172" i="11"/>
  <c r="AI172" i="11" s="1"/>
  <c r="AK172" i="11" s="1"/>
  <c r="AH193" i="11"/>
  <c r="AI193" i="11" s="1"/>
  <c r="AJ193" i="11" s="1"/>
  <c r="AH89" i="11"/>
  <c r="AI89" i="11" s="1"/>
  <c r="AL89" i="11" s="1"/>
  <c r="W92" i="11"/>
  <c r="Y92" i="11" s="1"/>
  <c r="X92" i="11"/>
  <c r="X86" i="11"/>
  <c r="W86" i="11"/>
  <c r="AH65" i="11"/>
  <c r="AI65" i="11" s="1"/>
  <c r="AK65" i="11" s="1"/>
  <c r="AA71" i="11"/>
  <c r="AD71" i="11" s="1"/>
  <c r="AG71" i="11" s="1"/>
  <c r="V91" i="11"/>
  <c r="AK63" i="11"/>
  <c r="AM63" i="11" s="1"/>
  <c r="AH62" i="11"/>
  <c r="AI62" i="11" s="1"/>
  <c r="AL62" i="11" s="1"/>
  <c r="AA72" i="11"/>
  <c r="AD72" i="11" s="1"/>
  <c r="AG72" i="11" s="1"/>
  <c r="AH69" i="11"/>
  <c r="AI69" i="11" s="1"/>
  <c r="AL69" i="11" s="1"/>
  <c r="AH64" i="11"/>
  <c r="AI64" i="11" s="1"/>
  <c r="AK64" i="11" s="1"/>
  <c r="AH60" i="11"/>
  <c r="AI60" i="11" s="1"/>
  <c r="AK60" i="11" s="1"/>
  <c r="AH68" i="11"/>
  <c r="AI68" i="11" s="1"/>
  <c r="AL68" i="11" s="1"/>
  <c r="U98" i="11"/>
  <c r="V98" i="11" s="1"/>
  <c r="X98" i="11" s="1"/>
  <c r="U96" i="11"/>
  <c r="V96" i="11" s="1"/>
  <c r="X96" i="11" s="1"/>
  <c r="AB71" i="11"/>
  <c r="AE71" i="11" s="1"/>
  <c r="Y71" i="11"/>
  <c r="AB199" i="11"/>
  <c r="AE199" i="11" s="1"/>
  <c r="Y199" i="11"/>
  <c r="U97" i="11"/>
  <c r="AA97" i="11" s="1"/>
  <c r="AD97" i="11" s="1"/>
  <c r="AG97" i="11" s="1"/>
  <c r="K103" i="11"/>
  <c r="L102" i="11"/>
  <c r="M102" i="11" s="1"/>
  <c r="W194" i="11"/>
  <c r="X194" i="11"/>
  <c r="P100" i="11"/>
  <c r="Q100" i="11" s="1"/>
  <c r="X71" i="11"/>
  <c r="X199" i="11"/>
  <c r="W72" i="11"/>
  <c r="Y85" i="11"/>
  <c r="Z85" i="11" s="1"/>
  <c r="AC85" i="11" s="1"/>
  <c r="AF85" i="11" s="1"/>
  <c r="AB85" i="11"/>
  <c r="AE85" i="11" s="1"/>
  <c r="V95" i="11"/>
  <c r="AJ83" i="11"/>
  <c r="AL83" i="11"/>
  <c r="AK83" i="11"/>
  <c r="Y190" i="11"/>
  <c r="Z190" i="11" s="1"/>
  <c r="AC190" i="11" s="1"/>
  <c r="AF190" i="11" s="1"/>
  <c r="AB190" i="11"/>
  <c r="AE190" i="11" s="1"/>
  <c r="AJ60" i="11"/>
  <c r="AL193" i="11"/>
  <c r="Y93" i="11"/>
  <c r="Z93" i="11" s="1"/>
  <c r="AC93" i="11" s="1"/>
  <c r="AF93" i="11" s="1"/>
  <c r="AB93" i="11"/>
  <c r="AE93" i="11" s="1"/>
  <c r="AL65" i="11"/>
  <c r="AJ172" i="11"/>
  <c r="AM172" i="11" s="1"/>
  <c r="AO172" i="11" s="1"/>
  <c r="AP171" i="11" s="1"/>
  <c r="V87" i="11"/>
  <c r="AA87" i="11"/>
  <c r="AD87" i="11" s="1"/>
  <c r="AG87" i="11" s="1"/>
  <c r="AA95" i="11"/>
  <c r="AD95" i="11" s="1"/>
  <c r="AG95" i="11" s="1"/>
  <c r="AH61" i="11"/>
  <c r="AI61" i="11" s="1"/>
  <c r="AN188" i="11"/>
  <c r="AN198" i="11"/>
  <c r="AN193" i="11"/>
  <c r="AN178" i="11"/>
  <c r="AN183" i="11"/>
  <c r="AO183" i="11" s="1"/>
  <c r="AJ191" i="11"/>
  <c r="AL191" i="11"/>
  <c r="AK191" i="11"/>
  <c r="AH198" i="11"/>
  <c r="AI198" i="11" s="1"/>
  <c r="AB67" i="11"/>
  <c r="AE67" i="11" s="1"/>
  <c r="Y67" i="11"/>
  <c r="Z67" i="11" s="1"/>
  <c r="AC67" i="11" s="1"/>
  <c r="AF67" i="11" s="1"/>
  <c r="AA92" i="11"/>
  <c r="AD92" i="11" s="1"/>
  <c r="AG92" i="11" s="1"/>
  <c r="AL197" i="11"/>
  <c r="AJ197" i="11"/>
  <c r="AK197" i="11"/>
  <c r="R99" i="11"/>
  <c r="S99" i="11" s="1"/>
  <c r="T99" i="11" s="1"/>
  <c r="O101" i="11"/>
  <c r="AJ188" i="11"/>
  <c r="AL188" i="11"/>
  <c r="AK188" i="11"/>
  <c r="Y195" i="11"/>
  <c r="Z195" i="11" s="1"/>
  <c r="AC195" i="11" s="1"/>
  <c r="AF195" i="11" s="1"/>
  <c r="AB195" i="11"/>
  <c r="AE195" i="11" s="1"/>
  <c r="AH197" i="10"/>
  <c r="AI197" i="10" s="1"/>
  <c r="AK197" i="10" s="1"/>
  <c r="AL63" i="10"/>
  <c r="AJ63" i="10"/>
  <c r="Z94" i="10"/>
  <c r="AC94" i="10" s="1"/>
  <c r="AF94" i="10" s="1"/>
  <c r="AH94" i="10" s="1"/>
  <c r="AI94" i="10" s="1"/>
  <c r="AH171" i="10"/>
  <c r="AI171" i="10" s="1"/>
  <c r="AL171" i="10" s="1"/>
  <c r="AK68" i="10"/>
  <c r="AJ68" i="10"/>
  <c r="AH93" i="10"/>
  <c r="AI93" i="10" s="1"/>
  <c r="AL93" i="10" s="1"/>
  <c r="AM58" i="10"/>
  <c r="AH193" i="10"/>
  <c r="AI193" i="10" s="1"/>
  <c r="AK193" i="10" s="1"/>
  <c r="AJ48" i="2"/>
  <c r="AL48" i="2"/>
  <c r="AK48" i="2"/>
  <c r="AL200" i="2"/>
  <c r="AJ200" i="2"/>
  <c r="O181" i="2"/>
  <c r="P181" i="2" s="1"/>
  <c r="Q181" i="2" s="1"/>
  <c r="AL97" i="2"/>
  <c r="AJ97" i="2"/>
  <c r="AH185" i="2"/>
  <c r="AI185" i="2" s="1"/>
  <c r="AA159" i="2"/>
  <c r="V159" i="2"/>
  <c r="AC159" i="2"/>
  <c r="AF159" i="2" s="1"/>
  <c r="X159" i="2"/>
  <c r="W159" i="2"/>
  <c r="Y159" i="2"/>
  <c r="AD159" i="2"/>
  <c r="AG159" i="2" s="1"/>
  <c r="AB159" i="2"/>
  <c r="AE159" i="2" s="1"/>
  <c r="Z159" i="2"/>
  <c r="AL127" i="2"/>
  <c r="AJ127" i="2"/>
  <c r="AJ132" i="2"/>
  <c r="AL132" i="2"/>
  <c r="AJ158" i="2"/>
  <c r="AL158" i="2"/>
  <c r="AJ182" i="2"/>
  <c r="AM182" i="2" s="1"/>
  <c r="AL182" i="2"/>
  <c r="AJ180" i="2"/>
  <c r="AL180" i="2"/>
  <c r="W174" i="10"/>
  <c r="Y174" i="10" s="1"/>
  <c r="Z174" i="10" s="1"/>
  <c r="AC174" i="10" s="1"/>
  <c r="AF174" i="10" s="1"/>
  <c r="X174" i="10"/>
  <c r="AM187" i="10"/>
  <c r="AO187" i="10" s="1"/>
  <c r="AM162" i="10"/>
  <c r="AO162" i="10" s="1"/>
  <c r="AP161" i="10" s="1"/>
  <c r="W175" i="10"/>
  <c r="AB175" i="10" s="1"/>
  <c r="AE175" i="10" s="1"/>
  <c r="AH69" i="10"/>
  <c r="AI69" i="10" s="1"/>
  <c r="AL69" i="10" s="1"/>
  <c r="AM64" i="10"/>
  <c r="AH168" i="10"/>
  <c r="AI168" i="10" s="1"/>
  <c r="AJ168" i="10" s="1"/>
  <c r="AM168" i="10" s="1"/>
  <c r="AO168" i="10" s="1"/>
  <c r="AH60" i="10"/>
  <c r="AI60" i="10" s="1"/>
  <c r="AK60" i="10" s="1"/>
  <c r="U96" i="10"/>
  <c r="AA96" i="10" s="1"/>
  <c r="AD96" i="10" s="1"/>
  <c r="AG96" i="10" s="1"/>
  <c r="AB89" i="10"/>
  <c r="AE89" i="10" s="1"/>
  <c r="Y89" i="10"/>
  <c r="Z89" i="10" s="1"/>
  <c r="AC89" i="10" s="1"/>
  <c r="AF89" i="10" s="1"/>
  <c r="Y199" i="10"/>
  <c r="Z199" i="10" s="1"/>
  <c r="AC199" i="10" s="1"/>
  <c r="AF199" i="10" s="1"/>
  <c r="AB199" i="10"/>
  <c r="AE199" i="10" s="1"/>
  <c r="X70" i="10"/>
  <c r="W70" i="10"/>
  <c r="V95" i="10"/>
  <c r="AM192" i="10"/>
  <c r="AO192" i="10" s="1"/>
  <c r="W72" i="10"/>
  <c r="Y198" i="10"/>
  <c r="Z198" i="10" s="1"/>
  <c r="AC198" i="10" s="1"/>
  <c r="AF198" i="10" s="1"/>
  <c r="AB198" i="10"/>
  <c r="AE198" i="10" s="1"/>
  <c r="AH167" i="10"/>
  <c r="AI167" i="10" s="1"/>
  <c r="AH88" i="10"/>
  <c r="AI88" i="10" s="1"/>
  <c r="AH172" i="10"/>
  <c r="AI172" i="10" s="1"/>
  <c r="Y175" i="10"/>
  <c r="Z175" i="10" s="1"/>
  <c r="AC175" i="10" s="1"/>
  <c r="AF175" i="10" s="1"/>
  <c r="X169" i="10"/>
  <c r="W169" i="10"/>
  <c r="AH84" i="10"/>
  <c r="AI84" i="10" s="1"/>
  <c r="AH65" i="10"/>
  <c r="AI65" i="10" s="1"/>
  <c r="AB174" i="10"/>
  <c r="AE174" i="10" s="1"/>
  <c r="V71" i="10"/>
  <c r="AA72" i="10"/>
  <c r="AD72" i="10" s="1"/>
  <c r="AG72" i="10" s="1"/>
  <c r="W90" i="10"/>
  <c r="X90" i="10"/>
  <c r="AJ59" i="10"/>
  <c r="AL59" i="10"/>
  <c r="AK59" i="10"/>
  <c r="AL168" i="10"/>
  <c r="AK168" i="10"/>
  <c r="L102" i="10"/>
  <c r="M102" i="10" s="1"/>
  <c r="K103" i="10"/>
  <c r="AM191" i="10"/>
  <c r="AO191" i="10" s="1"/>
  <c r="Z173" i="10"/>
  <c r="AC173" i="10" s="1"/>
  <c r="AF173" i="10" s="1"/>
  <c r="AH173" i="10" s="1"/>
  <c r="AI173" i="10" s="1"/>
  <c r="AL83" i="10"/>
  <c r="AJ83" i="10"/>
  <c r="AK83" i="10"/>
  <c r="AL197" i="10"/>
  <c r="AL196" i="10"/>
  <c r="AJ196" i="10"/>
  <c r="AK196" i="10"/>
  <c r="X66" i="10"/>
  <c r="W66" i="10"/>
  <c r="AJ193" i="10"/>
  <c r="AJ171" i="10"/>
  <c r="AM158" i="2"/>
  <c r="AO158" i="2" s="1"/>
  <c r="AM151" i="2"/>
  <c r="AO151" i="2" s="1"/>
  <c r="AM200" i="2"/>
  <c r="S160" i="2"/>
  <c r="T160" i="2" s="1"/>
  <c r="S190" i="2"/>
  <c r="T190" i="2" s="1"/>
  <c r="I168" i="2"/>
  <c r="J167" i="2"/>
  <c r="I164" i="2"/>
  <c r="J163" i="2"/>
  <c r="K183" i="2"/>
  <c r="L182" i="2"/>
  <c r="M182" i="2" s="1"/>
  <c r="O157" i="2"/>
  <c r="I172" i="2"/>
  <c r="J171" i="2"/>
  <c r="K53" i="2"/>
  <c r="L52" i="2"/>
  <c r="M52" i="2" s="1"/>
  <c r="K77" i="2"/>
  <c r="L76" i="2"/>
  <c r="M76" i="2" s="1"/>
  <c r="F25" i="2"/>
  <c r="J24" i="2"/>
  <c r="N24" i="2" s="1"/>
  <c r="O24" i="2" s="1"/>
  <c r="K159" i="2"/>
  <c r="L158" i="2"/>
  <c r="M158" i="2" s="1"/>
  <c r="R156" i="2"/>
  <c r="R160" i="2"/>
  <c r="AM97" i="2"/>
  <c r="K32" i="2"/>
  <c r="L31" i="2"/>
  <c r="M31" i="2" s="1"/>
  <c r="J28" i="2"/>
  <c r="N28" i="2" s="1"/>
  <c r="I29" i="2"/>
  <c r="AM177" i="2"/>
  <c r="R190" i="2"/>
  <c r="AO152" i="2"/>
  <c r="O23" i="2"/>
  <c r="B3" i="2"/>
  <c r="F49" i="2"/>
  <c r="J49" i="2" s="1"/>
  <c r="N49" i="2" s="1"/>
  <c r="H33" i="2"/>
  <c r="AK66" i="11" l="1"/>
  <c r="AL66" i="11"/>
  <c r="AJ66" i="11"/>
  <c r="AK89" i="11"/>
  <c r="AM89" i="11" s="1"/>
  <c r="AB24" i="11"/>
  <c r="AE24" i="11" s="1"/>
  <c r="AA24" i="11"/>
  <c r="AD24" i="11" s="1"/>
  <c r="AG24" i="11" s="1"/>
  <c r="AK79" i="11"/>
  <c r="Z61" i="12"/>
  <c r="AC61" i="12" s="1"/>
  <c r="AF61" i="12" s="1"/>
  <c r="AH61" i="12" s="1"/>
  <c r="AI61" i="12" s="1"/>
  <c r="AJ89" i="11"/>
  <c r="Y24" i="11"/>
  <c r="Z24" i="11" s="1"/>
  <c r="AC24" i="11" s="1"/>
  <c r="AF24" i="11" s="1"/>
  <c r="V24" i="11"/>
  <c r="W97" i="12"/>
  <c r="AB97" i="12" s="1"/>
  <c r="AE97" i="12" s="1"/>
  <c r="AH59" i="12"/>
  <c r="AI59" i="12" s="1"/>
  <c r="AL184" i="11"/>
  <c r="AL79" i="11"/>
  <c r="AJ94" i="12"/>
  <c r="AH174" i="10"/>
  <c r="AI174" i="10" s="1"/>
  <c r="AL94" i="12"/>
  <c r="AH85" i="12"/>
  <c r="AI85" i="12" s="1"/>
  <c r="AK85" i="12" s="1"/>
  <c r="AH80" i="12"/>
  <c r="AI80" i="12" s="1"/>
  <c r="AP156" i="12"/>
  <c r="AL193" i="10"/>
  <c r="Z94" i="11"/>
  <c r="AC94" i="11" s="1"/>
  <c r="AF94" i="11" s="1"/>
  <c r="AH94" i="11" s="1"/>
  <c r="AI94" i="11" s="1"/>
  <c r="AL94" i="11" s="1"/>
  <c r="AH63" i="12"/>
  <c r="AI63" i="12" s="1"/>
  <c r="X25" i="10"/>
  <c r="W25" i="10"/>
  <c r="Y25" i="10" s="1"/>
  <c r="W24" i="10"/>
  <c r="Y24" i="10" s="1"/>
  <c r="Z24" i="10" s="1"/>
  <c r="AC24" i="10" s="1"/>
  <c r="AF24" i="10" s="1"/>
  <c r="X24" i="10"/>
  <c r="AJ62" i="11"/>
  <c r="AM60" i="12"/>
  <c r="AM49" i="11"/>
  <c r="AJ86" i="10"/>
  <c r="AA23" i="10"/>
  <c r="AD23" i="10" s="1"/>
  <c r="AG23" i="10" s="1"/>
  <c r="AJ76" i="10"/>
  <c r="AM76" i="10" s="1"/>
  <c r="AO76" i="10" s="1"/>
  <c r="AL76" i="10"/>
  <c r="AK76" i="10"/>
  <c r="Y93" i="12"/>
  <c r="Z93" i="12" s="1"/>
  <c r="AC93" i="12" s="1"/>
  <c r="AF93" i="12" s="1"/>
  <c r="AB93" i="12"/>
  <c r="AE93" i="12" s="1"/>
  <c r="V29" i="11"/>
  <c r="W29" i="11" s="1"/>
  <c r="AB29" i="11" s="1"/>
  <c r="AE29" i="11" s="1"/>
  <c r="U115" i="12"/>
  <c r="AA115" i="12" s="1"/>
  <c r="AD115" i="12" s="1"/>
  <c r="AG115" i="12" s="1"/>
  <c r="U114" i="12"/>
  <c r="AL70" i="12"/>
  <c r="AJ70" i="12"/>
  <c r="AK70" i="12"/>
  <c r="U33" i="10"/>
  <c r="V33" i="10" s="1"/>
  <c r="Y56" i="12"/>
  <c r="AB56" i="12"/>
  <c r="AE56" i="12" s="1"/>
  <c r="U29" i="12"/>
  <c r="AA29" i="12" s="1"/>
  <c r="AD29" i="12" s="1"/>
  <c r="AG29" i="12" s="1"/>
  <c r="X23" i="10"/>
  <c r="W23" i="10"/>
  <c r="AA88" i="12"/>
  <c r="AD88" i="12" s="1"/>
  <c r="AG88" i="12" s="1"/>
  <c r="AL62" i="12"/>
  <c r="AJ62" i="12"/>
  <c r="AK62" i="12"/>
  <c r="AJ197" i="10"/>
  <c r="AK62" i="11"/>
  <c r="AJ65" i="11"/>
  <c r="AM65" i="11" s="1"/>
  <c r="AK193" i="11"/>
  <c r="AL60" i="11"/>
  <c r="AH79" i="12"/>
  <c r="AI79" i="12" s="1"/>
  <c r="W57" i="12"/>
  <c r="AH24" i="11"/>
  <c r="AI24" i="11" s="1"/>
  <c r="F37" i="12"/>
  <c r="J32" i="12"/>
  <c r="N32" i="12" s="1"/>
  <c r="AB54" i="12"/>
  <c r="AE54" i="12" s="1"/>
  <c r="Y54" i="12"/>
  <c r="Z54" i="12" s="1"/>
  <c r="AC54" i="12" s="1"/>
  <c r="AF54" i="12" s="1"/>
  <c r="AL74" i="12"/>
  <c r="AJ74" i="12"/>
  <c r="AM74" i="12" s="1"/>
  <c r="AO74" i="12" s="1"/>
  <c r="AK74" i="12"/>
  <c r="H125" i="12"/>
  <c r="J124" i="12"/>
  <c r="N124" i="12" s="1"/>
  <c r="O124" i="12" s="1"/>
  <c r="F37" i="11"/>
  <c r="J32" i="11"/>
  <c r="N32" i="11" s="1"/>
  <c r="W51" i="12"/>
  <c r="AB57" i="11"/>
  <c r="AE57" i="11" s="1"/>
  <c r="Y57" i="11"/>
  <c r="Z57" i="11" s="1"/>
  <c r="AC57" i="11" s="1"/>
  <c r="AF57" i="11" s="1"/>
  <c r="W83" i="12"/>
  <c r="X83" i="12"/>
  <c r="X49" i="12"/>
  <c r="W49" i="12"/>
  <c r="O107" i="12"/>
  <c r="AL75" i="10"/>
  <c r="AJ75" i="10"/>
  <c r="AM75" i="10" s="1"/>
  <c r="AO75" i="10" s="1"/>
  <c r="AK75" i="10"/>
  <c r="AH75" i="12"/>
  <c r="AI75" i="12" s="1"/>
  <c r="P34" i="12"/>
  <c r="Q34" i="12" s="1"/>
  <c r="R34" i="12" s="1"/>
  <c r="S34" i="12" s="1"/>
  <c r="T34" i="12" s="1"/>
  <c r="O39" i="11"/>
  <c r="Q38" i="11"/>
  <c r="R38" i="11" s="1"/>
  <c r="S38" i="11" s="1"/>
  <c r="T38" i="11" s="1"/>
  <c r="J40" i="11"/>
  <c r="N40" i="11" s="1"/>
  <c r="F45" i="11"/>
  <c r="J45" i="11" s="1"/>
  <c r="N45" i="11" s="1"/>
  <c r="O45" i="11" s="1"/>
  <c r="AL84" i="12"/>
  <c r="AJ84" i="12"/>
  <c r="AK84" i="12"/>
  <c r="F37" i="10"/>
  <c r="J32" i="10"/>
  <c r="N32" i="10" s="1"/>
  <c r="AB91" i="12"/>
  <c r="AE91" i="12" s="1"/>
  <c r="AH91" i="12" s="1"/>
  <c r="AI91" i="12" s="1"/>
  <c r="AJ81" i="12"/>
  <c r="AM81" i="12" s="1"/>
  <c r="AO81" i="12" s="1"/>
  <c r="AL81" i="12"/>
  <c r="Q30" i="12"/>
  <c r="U30" i="12"/>
  <c r="P30" i="12"/>
  <c r="Q33" i="12"/>
  <c r="R33" i="12" s="1"/>
  <c r="S33" i="12" s="1"/>
  <c r="T33" i="12" s="1"/>
  <c r="W72" i="12"/>
  <c r="W67" i="12"/>
  <c r="AM64" i="12"/>
  <c r="X77" i="12"/>
  <c r="W77" i="12"/>
  <c r="AD77" i="12"/>
  <c r="AG77" i="12" s="1"/>
  <c r="AB77" i="12"/>
  <c r="AE77" i="12" s="1"/>
  <c r="AC77" i="12"/>
  <c r="AF77" i="12" s="1"/>
  <c r="Y77" i="12"/>
  <c r="Z77" i="12"/>
  <c r="AA77" i="12"/>
  <c r="V77" i="12"/>
  <c r="AH82" i="12"/>
  <c r="AI82" i="12" s="1"/>
  <c r="H145" i="12"/>
  <c r="J144" i="12"/>
  <c r="X56" i="12"/>
  <c r="Q102" i="11"/>
  <c r="R102" i="11" s="1"/>
  <c r="S102" i="11" s="1"/>
  <c r="T102" i="11" s="1"/>
  <c r="P30" i="11"/>
  <c r="U30" i="11"/>
  <c r="AK82" i="11"/>
  <c r="AJ82" i="11"/>
  <c r="AM82" i="11" s="1"/>
  <c r="AO82" i="11" s="1"/>
  <c r="AL82" i="11"/>
  <c r="F41" i="12"/>
  <c r="J36" i="12"/>
  <c r="N36" i="12" s="1"/>
  <c r="W77" i="11"/>
  <c r="Y77" i="11"/>
  <c r="Z77" i="11"/>
  <c r="AB77" i="11"/>
  <c r="AE77" i="11" s="1"/>
  <c r="X77" i="11"/>
  <c r="AD77" i="11"/>
  <c r="AG77" i="11" s="1"/>
  <c r="V77" i="11"/>
  <c r="AC77" i="11"/>
  <c r="AF77" i="11" s="1"/>
  <c r="AA77" i="11"/>
  <c r="J36" i="11"/>
  <c r="N36" i="11" s="1"/>
  <c r="O36" i="11" s="1"/>
  <c r="F41" i="11"/>
  <c r="P121" i="12"/>
  <c r="AM69" i="12"/>
  <c r="AN191" i="12"/>
  <c r="AO191" i="12" s="1"/>
  <c r="AN196" i="12"/>
  <c r="AO196" i="12" s="1"/>
  <c r="AN181" i="12"/>
  <c r="AO181" i="12" s="1"/>
  <c r="AN176" i="12"/>
  <c r="AO176" i="12" s="1"/>
  <c r="AN186" i="12"/>
  <c r="AO186" i="12" s="1"/>
  <c r="X51" i="11"/>
  <c r="W51" i="11"/>
  <c r="AB25" i="10"/>
  <c r="AE25" i="10" s="1"/>
  <c r="V66" i="12"/>
  <c r="AA66" i="12"/>
  <c r="AD66" i="12" s="1"/>
  <c r="AG66" i="12" s="1"/>
  <c r="AA24" i="10"/>
  <c r="AD24" i="10" s="1"/>
  <c r="AG24" i="10" s="1"/>
  <c r="Q43" i="10"/>
  <c r="R43" i="10" s="1"/>
  <c r="S43" i="10" s="1"/>
  <c r="T43" i="10" s="1"/>
  <c r="V88" i="12"/>
  <c r="W88" i="12" s="1"/>
  <c r="P39" i="12"/>
  <c r="Q39" i="12" s="1"/>
  <c r="R39" i="12" s="1"/>
  <c r="S39" i="12" s="1"/>
  <c r="T39" i="12" s="1"/>
  <c r="U39" i="12" s="1"/>
  <c r="Q34" i="11"/>
  <c r="R34" i="11" s="1"/>
  <c r="S34" i="11" s="1"/>
  <c r="T34" i="11" s="1"/>
  <c r="Q120" i="12"/>
  <c r="R120" i="12" s="1"/>
  <c r="S120" i="12" s="1"/>
  <c r="T120" i="12" s="1"/>
  <c r="Q43" i="11"/>
  <c r="R43" i="11" s="1"/>
  <c r="S43" i="11" s="1"/>
  <c r="T43" i="11" s="1"/>
  <c r="Q104" i="12"/>
  <c r="R104" i="12" s="1"/>
  <c r="S104" i="12" s="1"/>
  <c r="T104" i="12" s="1"/>
  <c r="X109" i="12"/>
  <c r="W109" i="12"/>
  <c r="P38" i="10"/>
  <c r="Q38" i="10" s="1"/>
  <c r="R38" i="10" s="1"/>
  <c r="S38" i="10" s="1"/>
  <c r="T38" i="10" s="1"/>
  <c r="U38" i="10" s="1"/>
  <c r="O35" i="12"/>
  <c r="W76" i="12"/>
  <c r="AB76" i="12"/>
  <c r="AE76" i="12" s="1"/>
  <c r="X76" i="12"/>
  <c r="AC76" i="12"/>
  <c r="AF76" i="12" s="1"/>
  <c r="Y76" i="12"/>
  <c r="AD76" i="12"/>
  <c r="AG76" i="12" s="1"/>
  <c r="AA76" i="12"/>
  <c r="Z76" i="12"/>
  <c r="V76" i="12"/>
  <c r="P38" i="12"/>
  <c r="Q38" i="12" s="1"/>
  <c r="R38" i="12" s="1"/>
  <c r="S38" i="12" s="1"/>
  <c r="T38" i="12" s="1"/>
  <c r="U38" i="12" s="1"/>
  <c r="U26" i="11"/>
  <c r="Q26" i="11"/>
  <c r="P26" i="11"/>
  <c r="AB92" i="12"/>
  <c r="AE92" i="12" s="1"/>
  <c r="Y92" i="12"/>
  <c r="Z92" i="12" s="1"/>
  <c r="AC92" i="12" s="1"/>
  <c r="AF92" i="12" s="1"/>
  <c r="AJ59" i="12"/>
  <c r="AL59" i="12"/>
  <c r="AK59" i="12"/>
  <c r="V118" i="12"/>
  <c r="U119" i="12"/>
  <c r="U33" i="11"/>
  <c r="V33" i="11" s="1"/>
  <c r="W33" i="11" s="1"/>
  <c r="AA23" i="11"/>
  <c r="AD23" i="11" s="1"/>
  <c r="AG23" i="11" s="1"/>
  <c r="V23" i="11"/>
  <c r="AA96" i="12"/>
  <c r="AD96" i="12" s="1"/>
  <c r="AG96" i="12" s="1"/>
  <c r="W103" i="12"/>
  <c r="X103" i="12"/>
  <c r="Q26" i="10"/>
  <c r="P26" i="10"/>
  <c r="U26" i="10"/>
  <c r="AL80" i="12"/>
  <c r="AJ80" i="12"/>
  <c r="AM80" i="12" s="1"/>
  <c r="AO80" i="12" s="1"/>
  <c r="AK80" i="12"/>
  <c r="P39" i="10"/>
  <c r="Q39" i="10" s="1"/>
  <c r="R39" i="10" s="1"/>
  <c r="S39" i="10" s="1"/>
  <c r="T39" i="10" s="1"/>
  <c r="AN187" i="12"/>
  <c r="AO187" i="12" s="1"/>
  <c r="AN197" i="12"/>
  <c r="AO197" i="12" s="1"/>
  <c r="AN177" i="12"/>
  <c r="AO177" i="12" s="1"/>
  <c r="AN192" i="12"/>
  <c r="AO192" i="12" s="1"/>
  <c r="AN182" i="12"/>
  <c r="AO182" i="12" s="1"/>
  <c r="AH75" i="11"/>
  <c r="AI75" i="11" s="1"/>
  <c r="S25" i="11"/>
  <c r="T25" i="11" s="1"/>
  <c r="R25" i="11"/>
  <c r="X88" i="11"/>
  <c r="W88" i="11"/>
  <c r="H130" i="12"/>
  <c r="J129" i="12"/>
  <c r="O31" i="11"/>
  <c r="AK31" i="11"/>
  <c r="P122" i="12"/>
  <c r="Y68" i="12"/>
  <c r="Z68" i="12" s="1"/>
  <c r="AC68" i="12" s="1"/>
  <c r="AF68" i="12" s="1"/>
  <c r="AB68" i="12"/>
  <c r="AE68" i="12" s="1"/>
  <c r="V28" i="12"/>
  <c r="V71" i="12"/>
  <c r="AA71" i="12"/>
  <c r="AD71" i="12" s="1"/>
  <c r="AG71" i="12" s="1"/>
  <c r="AJ64" i="11"/>
  <c r="AM84" i="11"/>
  <c r="P34" i="10"/>
  <c r="Q34" i="10" s="1"/>
  <c r="R34" i="10" s="1"/>
  <c r="S34" i="10" s="1"/>
  <c r="T34" i="10" s="1"/>
  <c r="Y99" i="12"/>
  <c r="Z99" i="12" s="1"/>
  <c r="AC99" i="12" s="1"/>
  <c r="AF99" i="12" s="1"/>
  <c r="AH99" i="12" s="1"/>
  <c r="AI99" i="12" s="1"/>
  <c r="O35" i="10"/>
  <c r="AH76" i="11"/>
  <c r="AI76" i="11" s="1"/>
  <c r="V28" i="11"/>
  <c r="P43" i="12"/>
  <c r="Q43" i="12" s="1"/>
  <c r="R43" i="12" s="1"/>
  <c r="S43" i="12" s="1"/>
  <c r="T43" i="12" s="1"/>
  <c r="AN195" i="12"/>
  <c r="AO195" i="12" s="1"/>
  <c r="AN190" i="12"/>
  <c r="AN200" i="12"/>
  <c r="AO200" i="12" s="1"/>
  <c r="AN185" i="12"/>
  <c r="AN180" i="12"/>
  <c r="O44" i="12"/>
  <c r="AB98" i="12"/>
  <c r="AE98" i="12" s="1"/>
  <c r="Y98" i="12"/>
  <c r="Z98" i="12" s="1"/>
  <c r="AC98" i="12" s="1"/>
  <c r="AF98" i="12" s="1"/>
  <c r="P116" i="12"/>
  <c r="O31" i="10"/>
  <c r="F45" i="12"/>
  <c r="J45" i="12" s="1"/>
  <c r="N45" i="12" s="1"/>
  <c r="J40" i="12"/>
  <c r="N40" i="12" s="1"/>
  <c r="AH50" i="11"/>
  <c r="AI50" i="11" s="1"/>
  <c r="Y80" i="11"/>
  <c r="Z80" i="11" s="1"/>
  <c r="AC80" i="11" s="1"/>
  <c r="AF80" i="11" s="1"/>
  <c r="AB80" i="11"/>
  <c r="AE80" i="11" s="1"/>
  <c r="H136" i="12"/>
  <c r="J135" i="12"/>
  <c r="AL86" i="12"/>
  <c r="AJ86" i="12"/>
  <c r="AM86" i="12" s="1"/>
  <c r="AO86" i="12" s="1"/>
  <c r="AK86" i="12"/>
  <c r="H132" i="11"/>
  <c r="J132" i="11" s="1"/>
  <c r="J131" i="11"/>
  <c r="AM108" i="12"/>
  <c r="W113" i="12"/>
  <c r="X113" i="12"/>
  <c r="Q105" i="12"/>
  <c r="R105" i="12" s="1"/>
  <c r="S105" i="12" s="1"/>
  <c r="T105" i="12" s="1"/>
  <c r="AP166" i="12"/>
  <c r="AA87" i="12"/>
  <c r="AD87" i="12" s="1"/>
  <c r="AG87" i="12" s="1"/>
  <c r="O101" i="12"/>
  <c r="V96" i="12"/>
  <c r="P44" i="10"/>
  <c r="AC24" i="12"/>
  <c r="AF24" i="12" s="1"/>
  <c r="Y24" i="12"/>
  <c r="V24" i="12"/>
  <c r="X24" i="12"/>
  <c r="Z24" i="12"/>
  <c r="W24" i="12"/>
  <c r="AA24" i="12"/>
  <c r="AD24" i="12"/>
  <c r="AG24" i="12" s="1"/>
  <c r="AB24" i="12"/>
  <c r="AE24" i="12" s="1"/>
  <c r="P100" i="12"/>
  <c r="Q100" i="12" s="1"/>
  <c r="R100" i="12" s="1"/>
  <c r="S100" i="12" s="1"/>
  <c r="T100" i="12" s="1"/>
  <c r="AB52" i="11"/>
  <c r="AE52" i="11" s="1"/>
  <c r="Y52" i="11"/>
  <c r="Z52" i="11" s="1"/>
  <c r="AC52" i="11" s="1"/>
  <c r="AF52" i="11" s="1"/>
  <c r="Q29" i="10"/>
  <c r="R29" i="10" s="1"/>
  <c r="S29" i="10" s="1"/>
  <c r="T29" i="10" s="1"/>
  <c r="AA28" i="12"/>
  <c r="AD28" i="12" s="1"/>
  <c r="AG28" i="12" s="1"/>
  <c r="AH95" i="12"/>
  <c r="AI95" i="12" s="1"/>
  <c r="Z23" i="12"/>
  <c r="AC23" i="12" s="1"/>
  <c r="AF23" i="12" s="1"/>
  <c r="AH23" i="12" s="1"/>
  <c r="AI23" i="12" s="1"/>
  <c r="Y90" i="12"/>
  <c r="Z90" i="12" s="1"/>
  <c r="AC90" i="12" s="1"/>
  <c r="AF90" i="12" s="1"/>
  <c r="AB90" i="12"/>
  <c r="AE90" i="12" s="1"/>
  <c r="AM94" i="12"/>
  <c r="X74" i="11"/>
  <c r="W74" i="11"/>
  <c r="AL85" i="12"/>
  <c r="AM54" i="11"/>
  <c r="F45" i="10"/>
  <c r="J45" i="10" s="1"/>
  <c r="N45" i="10" s="1"/>
  <c r="O45" i="10" s="1"/>
  <c r="J40" i="10"/>
  <c r="N40" i="10" s="1"/>
  <c r="O40" i="10" s="1"/>
  <c r="U28" i="10"/>
  <c r="AA28" i="10" s="1"/>
  <c r="AD28" i="10" s="1"/>
  <c r="AG28" i="10" s="1"/>
  <c r="AK27" i="12"/>
  <c r="O27" i="12"/>
  <c r="P123" i="12"/>
  <c r="Q123" i="12" s="1"/>
  <c r="R123" i="12" s="1"/>
  <c r="S123" i="12" s="1"/>
  <c r="T123" i="12" s="1"/>
  <c r="O27" i="11"/>
  <c r="AK27" i="11"/>
  <c r="P117" i="12"/>
  <c r="Q117" i="12" s="1"/>
  <c r="R117" i="12" s="1"/>
  <c r="S117" i="12" s="1"/>
  <c r="T117" i="12" s="1"/>
  <c r="U117" i="12" s="1"/>
  <c r="X29" i="11"/>
  <c r="AA29" i="11"/>
  <c r="AD29" i="11" s="1"/>
  <c r="AG29" i="11" s="1"/>
  <c r="F41" i="10"/>
  <c r="J36" i="10"/>
  <c r="N36" i="10" s="1"/>
  <c r="O106" i="12"/>
  <c r="AK55" i="11"/>
  <c r="AJ55" i="11"/>
  <c r="AL55" i="11"/>
  <c r="P30" i="10"/>
  <c r="U26" i="12"/>
  <c r="Q26" i="12"/>
  <c r="P26" i="12"/>
  <c r="P44" i="11"/>
  <c r="Q44" i="11" s="1"/>
  <c r="R44" i="11" s="1"/>
  <c r="S44" i="11" s="1"/>
  <c r="T44" i="11" s="1"/>
  <c r="U44" i="11" s="1"/>
  <c r="P35" i="11"/>
  <c r="Q35" i="11" s="1"/>
  <c r="R35" i="11" s="1"/>
  <c r="S35" i="11" s="1"/>
  <c r="T35" i="11" s="1"/>
  <c r="R25" i="12"/>
  <c r="S25" i="12"/>
  <c r="T25" i="12" s="1"/>
  <c r="AK27" i="10"/>
  <c r="O27" i="10"/>
  <c r="AB56" i="11"/>
  <c r="AE56" i="11" s="1"/>
  <c r="Y56" i="11"/>
  <c r="Z56" i="11" s="1"/>
  <c r="AC56" i="11" s="1"/>
  <c r="AF56" i="11" s="1"/>
  <c r="AH56" i="11" s="1"/>
  <c r="AI56" i="11" s="1"/>
  <c r="V87" i="12"/>
  <c r="O102" i="12"/>
  <c r="Z50" i="12"/>
  <c r="AC50" i="12" s="1"/>
  <c r="AF50" i="12" s="1"/>
  <c r="AH50" i="12" s="1"/>
  <c r="AI50" i="12" s="1"/>
  <c r="Z55" i="12"/>
  <c r="AC55" i="12" s="1"/>
  <c r="AF55" i="12" s="1"/>
  <c r="AH55" i="12" s="1"/>
  <c r="AI55" i="12" s="1"/>
  <c r="AJ63" i="12"/>
  <c r="AL63" i="12"/>
  <c r="AK63" i="12"/>
  <c r="AA52" i="12"/>
  <c r="AD52" i="12" s="1"/>
  <c r="AG52" i="12" s="1"/>
  <c r="V52" i="12"/>
  <c r="X52" i="12" s="1"/>
  <c r="AK31" i="12"/>
  <c r="O31" i="12"/>
  <c r="AB78" i="12"/>
  <c r="AE78" i="12" s="1"/>
  <c r="Y78" i="12"/>
  <c r="Z78" i="12" s="1"/>
  <c r="AC78" i="12" s="1"/>
  <c r="AF78" i="12" s="1"/>
  <c r="H140" i="12"/>
  <c r="J139" i="12"/>
  <c r="AL56" i="10"/>
  <c r="AJ56" i="10"/>
  <c r="AK56" i="10"/>
  <c r="AO182" i="11"/>
  <c r="AP181" i="11" s="1"/>
  <c r="AB89" i="12"/>
  <c r="AE89" i="12" s="1"/>
  <c r="Y89" i="12"/>
  <c r="Z89" i="12" s="1"/>
  <c r="AC89" i="12" s="1"/>
  <c r="AF89" i="12" s="1"/>
  <c r="AJ65" i="12"/>
  <c r="AL65" i="12"/>
  <c r="AK65" i="12"/>
  <c r="AJ87" i="10"/>
  <c r="AM87" i="10" s="1"/>
  <c r="AK87" i="10"/>
  <c r="AL87" i="10"/>
  <c r="AK86" i="10"/>
  <c r="AM86" i="10" s="1"/>
  <c r="AB92" i="11"/>
  <c r="AE92" i="11" s="1"/>
  <c r="AH92" i="11" s="1"/>
  <c r="AI92" i="11" s="1"/>
  <c r="Y91" i="10"/>
  <c r="Z91" i="10" s="1"/>
  <c r="AC91" i="10" s="1"/>
  <c r="AF91" i="10" s="1"/>
  <c r="AB91" i="10"/>
  <c r="AE91" i="10" s="1"/>
  <c r="AB97" i="10"/>
  <c r="AE97" i="10" s="1"/>
  <c r="Y97" i="10"/>
  <c r="Z97" i="10" s="1"/>
  <c r="AC97" i="10" s="1"/>
  <c r="AF97" i="10" s="1"/>
  <c r="U100" i="10"/>
  <c r="AA100" i="10" s="1"/>
  <c r="AD100" i="10" s="1"/>
  <c r="AG100" i="10" s="1"/>
  <c r="AJ194" i="10"/>
  <c r="AL194" i="10"/>
  <c r="AK194" i="10"/>
  <c r="AH98" i="10"/>
  <c r="AI98" i="10" s="1"/>
  <c r="AM63" i="10"/>
  <c r="Q101" i="10"/>
  <c r="R101" i="10" s="1"/>
  <c r="S101" i="10" s="1"/>
  <c r="T101" i="10" s="1"/>
  <c r="AK171" i="10"/>
  <c r="AM171" i="10" s="1"/>
  <c r="AO171" i="10" s="1"/>
  <c r="AJ68" i="11"/>
  <c r="AK69" i="11"/>
  <c r="AL195" i="10"/>
  <c r="AJ195" i="10"/>
  <c r="AK195" i="10"/>
  <c r="AM92" i="10"/>
  <c r="Y99" i="10"/>
  <c r="Z99" i="10" s="1"/>
  <c r="AC99" i="10" s="1"/>
  <c r="AF99" i="10" s="1"/>
  <c r="AB99" i="10"/>
  <c r="AE99" i="10" s="1"/>
  <c r="AK70" i="11"/>
  <c r="AJ70" i="11"/>
  <c r="AL70" i="11"/>
  <c r="AH175" i="10"/>
  <c r="AI175" i="10" s="1"/>
  <c r="AJ175" i="10" s="1"/>
  <c r="AJ69" i="11"/>
  <c r="AH67" i="11"/>
  <c r="AI67" i="11" s="1"/>
  <c r="AJ67" i="11" s="1"/>
  <c r="AK68" i="11"/>
  <c r="W200" i="11"/>
  <c r="Y200" i="11" s="1"/>
  <c r="Z200" i="11" s="1"/>
  <c r="AC200" i="11" s="1"/>
  <c r="AF200" i="11" s="1"/>
  <c r="AH195" i="11"/>
  <c r="AI195" i="11" s="1"/>
  <c r="AL195" i="11" s="1"/>
  <c r="Y112" i="12"/>
  <c r="Z112" i="12" s="1"/>
  <c r="AC112" i="12" s="1"/>
  <c r="AF112" i="12" s="1"/>
  <c r="AB112" i="12"/>
  <c r="AE112" i="12" s="1"/>
  <c r="AM111" i="12"/>
  <c r="L129" i="12"/>
  <c r="M129" i="12" s="1"/>
  <c r="N129" i="12" s="1"/>
  <c r="K130" i="12"/>
  <c r="O128" i="12"/>
  <c r="AL172" i="11"/>
  <c r="AJ196" i="11"/>
  <c r="AK196" i="11"/>
  <c r="AL196" i="11"/>
  <c r="AM188" i="11"/>
  <c r="AO188" i="11" s="1"/>
  <c r="AH189" i="11"/>
  <c r="AI189" i="11" s="1"/>
  <c r="Z199" i="11"/>
  <c r="AC199" i="11" s="1"/>
  <c r="AF199" i="11" s="1"/>
  <c r="AH199" i="11" s="1"/>
  <c r="AI199" i="11" s="1"/>
  <c r="Z92" i="11"/>
  <c r="AC92" i="11" s="1"/>
  <c r="AF92" i="11" s="1"/>
  <c r="AA98" i="11"/>
  <c r="AD98" i="11" s="1"/>
  <c r="AG98" i="11" s="1"/>
  <c r="Y86" i="11"/>
  <c r="Z86" i="11" s="1"/>
  <c r="AC86" i="11" s="1"/>
  <c r="AF86" i="11" s="1"/>
  <c r="AB86" i="11"/>
  <c r="AE86" i="11" s="1"/>
  <c r="AL64" i="11"/>
  <c r="AH93" i="11"/>
  <c r="AI93" i="11" s="1"/>
  <c r="AJ93" i="11" s="1"/>
  <c r="W91" i="11"/>
  <c r="X91" i="11"/>
  <c r="AM60" i="11"/>
  <c r="U99" i="11"/>
  <c r="AB72" i="11"/>
  <c r="AE72" i="11" s="1"/>
  <c r="Y72" i="11"/>
  <c r="Z72" i="11" s="1"/>
  <c r="AC72" i="11" s="1"/>
  <c r="AF72" i="11" s="1"/>
  <c r="AJ94" i="11"/>
  <c r="W96" i="11"/>
  <c r="AM197" i="11"/>
  <c r="AO197" i="11" s="1"/>
  <c r="AN200" i="11"/>
  <c r="AN195" i="11"/>
  <c r="AN190" i="11"/>
  <c r="AN185" i="11"/>
  <c r="AN180" i="11"/>
  <c r="AM193" i="11"/>
  <c r="AO193" i="11" s="1"/>
  <c r="AH190" i="11"/>
  <c r="AI190" i="11" s="1"/>
  <c r="AM83" i="11"/>
  <c r="AH85" i="11"/>
  <c r="AI85" i="11" s="1"/>
  <c r="V97" i="11"/>
  <c r="AA96" i="11"/>
  <c r="AD96" i="11" s="1"/>
  <c r="AG96" i="11" s="1"/>
  <c r="AM66" i="11"/>
  <c r="P101" i="11"/>
  <c r="Q101" i="11" s="1"/>
  <c r="AJ90" i="11"/>
  <c r="AL90" i="11"/>
  <c r="AK90" i="11"/>
  <c r="AL198" i="11"/>
  <c r="AJ198" i="11"/>
  <c r="AK198" i="11"/>
  <c r="AJ61" i="11"/>
  <c r="AL61" i="11"/>
  <c r="AK61" i="11"/>
  <c r="X87" i="11"/>
  <c r="W87" i="11"/>
  <c r="R100" i="11"/>
  <c r="S100" i="11" s="1"/>
  <c r="T100" i="11" s="1"/>
  <c r="Y194" i="11"/>
  <c r="Z194" i="11" s="1"/>
  <c r="AC194" i="11" s="1"/>
  <c r="AF194" i="11" s="1"/>
  <c r="AB194" i="11"/>
  <c r="AE194" i="11" s="1"/>
  <c r="L103" i="11"/>
  <c r="M103" i="11" s="1"/>
  <c r="N103" i="11" s="1"/>
  <c r="K104" i="11"/>
  <c r="AL67" i="11"/>
  <c r="AK67" i="11"/>
  <c r="AM191" i="11"/>
  <c r="AO191" i="11" s="1"/>
  <c r="W95" i="11"/>
  <c r="X95" i="11"/>
  <c r="Z71" i="11"/>
  <c r="AC71" i="11" s="1"/>
  <c r="AF71" i="11" s="1"/>
  <c r="AH71" i="11" s="1"/>
  <c r="AI71" i="11" s="1"/>
  <c r="W98" i="11"/>
  <c r="AL60" i="10"/>
  <c r="AM68" i="10"/>
  <c r="AK93" i="10"/>
  <c r="AJ93" i="10"/>
  <c r="AJ60" i="10"/>
  <c r="AK69" i="10"/>
  <c r="AJ69" i="10"/>
  <c r="AH199" i="10"/>
  <c r="AI199" i="10" s="1"/>
  <c r="AK199" i="10" s="1"/>
  <c r="O49" i="2"/>
  <c r="U49" i="2" s="1"/>
  <c r="AK49" i="2"/>
  <c r="AB190" i="2"/>
  <c r="AE190" i="2" s="1"/>
  <c r="AC190" i="2"/>
  <c r="AF190" i="2" s="1"/>
  <c r="W190" i="2"/>
  <c r="AA190" i="2"/>
  <c r="V190" i="2"/>
  <c r="Z190" i="2"/>
  <c r="Y190" i="2"/>
  <c r="AD190" i="2"/>
  <c r="AG190" i="2" s="1"/>
  <c r="X190" i="2"/>
  <c r="X160" i="2"/>
  <c r="AC160" i="2"/>
  <c r="AF160" i="2" s="1"/>
  <c r="AD160" i="2"/>
  <c r="AG160" i="2" s="1"/>
  <c r="Y160" i="2"/>
  <c r="AB160" i="2"/>
  <c r="AE160" i="2" s="1"/>
  <c r="Z160" i="2"/>
  <c r="AA160" i="2"/>
  <c r="W160" i="2"/>
  <c r="V160" i="2"/>
  <c r="P23" i="2"/>
  <c r="Q23" i="2" s="1"/>
  <c r="AH159" i="2"/>
  <c r="AI159" i="2" s="1"/>
  <c r="AL185" i="2"/>
  <c r="AJ185" i="2"/>
  <c r="AM185" i="2" s="1"/>
  <c r="AM196" i="10"/>
  <c r="AO196" i="10" s="1"/>
  <c r="V96" i="10"/>
  <c r="AM59" i="10"/>
  <c r="AK175" i="10"/>
  <c r="AL94" i="10"/>
  <c r="AJ94" i="10"/>
  <c r="AK94" i="10"/>
  <c r="AL174" i="10"/>
  <c r="AJ174" i="10"/>
  <c r="Y169" i="10"/>
  <c r="Z169" i="10" s="1"/>
  <c r="AC169" i="10" s="1"/>
  <c r="AF169" i="10" s="1"/>
  <c r="AB169" i="10"/>
  <c r="AE169" i="10" s="1"/>
  <c r="AL88" i="10"/>
  <c r="AJ88" i="10"/>
  <c r="AK88" i="10"/>
  <c r="AB72" i="10"/>
  <c r="AE72" i="10" s="1"/>
  <c r="Y72" i="10"/>
  <c r="Z72" i="10" s="1"/>
  <c r="AC72" i="10" s="1"/>
  <c r="AF72" i="10" s="1"/>
  <c r="W95" i="10"/>
  <c r="X95" i="10"/>
  <c r="AJ199" i="10"/>
  <c r="AH89" i="10"/>
  <c r="AI89" i="10" s="1"/>
  <c r="X71" i="10"/>
  <c r="W71" i="10"/>
  <c r="AL65" i="10"/>
  <c r="AJ65" i="10"/>
  <c r="AK65" i="10"/>
  <c r="AB66" i="10"/>
  <c r="AE66" i="10" s="1"/>
  <c r="Y66" i="10"/>
  <c r="Z66" i="10" s="1"/>
  <c r="AC66" i="10" s="1"/>
  <c r="AF66" i="10" s="1"/>
  <c r="AJ173" i="10"/>
  <c r="AM173" i="10" s="1"/>
  <c r="AO173" i="10" s="1"/>
  <c r="AL173" i="10"/>
  <c r="AK173" i="10"/>
  <c r="AM193" i="10"/>
  <c r="AM83" i="10"/>
  <c r="Y90" i="10"/>
  <c r="Z90" i="10" s="1"/>
  <c r="AC90" i="10" s="1"/>
  <c r="AF90" i="10" s="1"/>
  <c r="AB90" i="10"/>
  <c r="AE90" i="10" s="1"/>
  <c r="AK174" i="10"/>
  <c r="AL167" i="10"/>
  <c r="AJ167" i="10"/>
  <c r="AK167" i="10"/>
  <c r="Y70" i="10"/>
  <c r="Z70" i="10" s="1"/>
  <c r="AC70" i="10" s="1"/>
  <c r="AF70" i="10" s="1"/>
  <c r="AB70" i="10"/>
  <c r="AE70" i="10" s="1"/>
  <c r="L103" i="10"/>
  <c r="M103" i="10" s="1"/>
  <c r="N103" i="10" s="1"/>
  <c r="K104" i="10"/>
  <c r="AL84" i="10"/>
  <c r="AJ84" i="10"/>
  <c r="AK84" i="10"/>
  <c r="AL172" i="10"/>
  <c r="AJ172" i="10"/>
  <c r="AM172" i="10" s="1"/>
  <c r="AO172" i="10" s="1"/>
  <c r="AK172" i="10"/>
  <c r="AM197" i="10"/>
  <c r="AO197" i="10" s="1"/>
  <c r="AN198" i="10"/>
  <c r="AN188" i="10"/>
  <c r="AO188" i="10" s="1"/>
  <c r="AN193" i="10"/>
  <c r="AN183" i="10"/>
  <c r="AO183" i="10" s="1"/>
  <c r="AP181" i="10" s="1"/>
  <c r="AN178" i="10"/>
  <c r="AH198" i="10"/>
  <c r="AI198" i="10" s="1"/>
  <c r="AM180" i="2"/>
  <c r="AM127" i="2"/>
  <c r="P24" i="2"/>
  <c r="S156" i="2"/>
  <c r="T156" i="2" s="1"/>
  <c r="F65" i="2"/>
  <c r="J65" i="2" s="1"/>
  <c r="F60" i="2"/>
  <c r="J60" i="2" s="1"/>
  <c r="F70" i="2"/>
  <c r="J70" i="2" s="1"/>
  <c r="F50" i="2"/>
  <c r="J50" i="2" s="1"/>
  <c r="N50" i="2" s="1"/>
  <c r="AK50" i="2" s="1"/>
  <c r="F55" i="2"/>
  <c r="J55" i="2" s="1"/>
  <c r="N55" i="2" s="1"/>
  <c r="AK55" i="2" s="1"/>
  <c r="H38" i="2"/>
  <c r="H34" i="2"/>
  <c r="H35" i="2" s="1"/>
  <c r="H36" i="2" s="1"/>
  <c r="H37" i="2" s="1"/>
  <c r="K54" i="2"/>
  <c r="L53" i="2"/>
  <c r="M53" i="2" s="1"/>
  <c r="N53" i="2" s="1"/>
  <c r="P157" i="2"/>
  <c r="R181" i="2"/>
  <c r="F26" i="2"/>
  <c r="J25" i="2"/>
  <c r="N25" i="2" s="1"/>
  <c r="AK25" i="2" s="1"/>
  <c r="I165" i="2"/>
  <c r="J165" i="2" s="1"/>
  <c r="N165" i="2" s="1"/>
  <c r="AK165" i="2" s="1"/>
  <c r="J164" i="2"/>
  <c r="N164" i="2" s="1"/>
  <c r="K78" i="2"/>
  <c r="L77" i="2"/>
  <c r="M77" i="2" s="1"/>
  <c r="I173" i="2"/>
  <c r="J172" i="2"/>
  <c r="K184" i="2"/>
  <c r="L183" i="2"/>
  <c r="M183" i="2" s="1"/>
  <c r="K160" i="2"/>
  <c r="L159" i="2"/>
  <c r="M159" i="2" s="1"/>
  <c r="I169" i="2"/>
  <c r="J168" i="2"/>
  <c r="O28" i="2"/>
  <c r="I30" i="2"/>
  <c r="J29" i="2"/>
  <c r="N29" i="2" s="1"/>
  <c r="L32" i="2"/>
  <c r="M32" i="2" s="1"/>
  <c r="K33" i="2"/>
  <c r="J74" i="2"/>
  <c r="N74" i="2" s="1"/>
  <c r="AL61" i="12" l="1"/>
  <c r="AJ61" i="12"/>
  <c r="AK61" i="12"/>
  <c r="AM68" i="11"/>
  <c r="AJ85" i="12"/>
  <c r="AM85" i="12" s="1"/>
  <c r="AO85" i="12" s="1"/>
  <c r="Y97" i="12"/>
  <c r="Z97" i="12" s="1"/>
  <c r="AC97" i="12" s="1"/>
  <c r="AF97" i="12" s="1"/>
  <c r="AH97" i="12" s="1"/>
  <c r="AI97" i="12" s="1"/>
  <c r="AB24" i="10"/>
  <c r="AE24" i="10" s="1"/>
  <c r="AK94" i="11"/>
  <c r="AM94" i="11" s="1"/>
  <c r="AH68" i="12"/>
  <c r="AI68" i="12" s="1"/>
  <c r="AM62" i="11"/>
  <c r="AM55" i="11"/>
  <c r="AB200" i="11"/>
  <c r="AE200" i="11" s="1"/>
  <c r="AH200" i="11" s="1"/>
  <c r="AI200" i="11" s="1"/>
  <c r="AJ200" i="11" s="1"/>
  <c r="AH77" i="12"/>
  <c r="AI77" i="12" s="1"/>
  <c r="W33" i="10"/>
  <c r="X33" i="10"/>
  <c r="AM64" i="11"/>
  <c r="AH57" i="11"/>
  <c r="AI57" i="11" s="1"/>
  <c r="P49" i="2"/>
  <c r="Q49" i="2" s="1"/>
  <c r="AK93" i="11"/>
  <c r="AM56" i="10"/>
  <c r="AM63" i="12"/>
  <c r="Y29" i="11"/>
  <c r="Z29" i="11" s="1"/>
  <c r="AC29" i="11" s="1"/>
  <c r="AF29" i="11" s="1"/>
  <c r="AH29" i="11" s="1"/>
  <c r="AI29" i="11" s="1"/>
  <c r="AJ29" i="11" s="1"/>
  <c r="AM29" i="11" s="1"/>
  <c r="AO29" i="11" s="1"/>
  <c r="X88" i="12"/>
  <c r="AM84" i="12"/>
  <c r="AH93" i="12"/>
  <c r="AI93" i="12" s="1"/>
  <c r="Z25" i="10"/>
  <c r="AC25" i="10" s="1"/>
  <c r="AF25" i="10" s="1"/>
  <c r="AH25" i="10" s="1"/>
  <c r="AI25" i="10" s="1"/>
  <c r="U105" i="12"/>
  <c r="AA105" i="12" s="1"/>
  <c r="AD105" i="12" s="1"/>
  <c r="AG105" i="12" s="1"/>
  <c r="V117" i="12"/>
  <c r="W117" i="12" s="1"/>
  <c r="Y117" i="12" s="1"/>
  <c r="U123" i="12"/>
  <c r="V123" i="12" s="1"/>
  <c r="X123" i="12" s="1"/>
  <c r="AL23" i="12"/>
  <c r="AJ23" i="12"/>
  <c r="AM23" i="12" s="1"/>
  <c r="AO23" i="12" s="1"/>
  <c r="AK23" i="12"/>
  <c r="U100" i="12"/>
  <c r="V100" i="12" s="1"/>
  <c r="AJ97" i="12"/>
  <c r="AM97" i="12" s="1"/>
  <c r="AO97" i="12" s="1"/>
  <c r="AL97" i="12"/>
  <c r="AK97" i="12"/>
  <c r="AB88" i="12"/>
  <c r="AE88" i="12" s="1"/>
  <c r="Y88" i="12"/>
  <c r="Z88" i="12" s="1"/>
  <c r="AC88" i="12" s="1"/>
  <c r="AF88" i="12" s="1"/>
  <c r="U43" i="12"/>
  <c r="AA43" i="12" s="1"/>
  <c r="AD43" i="12" s="1"/>
  <c r="AG43" i="12" s="1"/>
  <c r="AK99" i="12"/>
  <c r="AJ99" i="12"/>
  <c r="AL99" i="12"/>
  <c r="U39" i="10"/>
  <c r="AA39" i="10" s="1"/>
  <c r="AD39" i="10" s="1"/>
  <c r="AG39" i="10" s="1"/>
  <c r="AA38" i="12"/>
  <c r="AD38" i="12" s="1"/>
  <c r="AG38" i="12" s="1"/>
  <c r="V38" i="10"/>
  <c r="W38" i="10" s="1"/>
  <c r="U33" i="12"/>
  <c r="AA33" i="12" s="1"/>
  <c r="AD33" i="12" s="1"/>
  <c r="AG33" i="12" s="1"/>
  <c r="V35" i="11"/>
  <c r="X35" i="11" s="1"/>
  <c r="U35" i="11"/>
  <c r="U34" i="10"/>
  <c r="AA34" i="10" s="1"/>
  <c r="AD34" i="10" s="1"/>
  <c r="AG34" i="10" s="1"/>
  <c r="Y33" i="11"/>
  <c r="AB33" i="11"/>
  <c r="AE33" i="11" s="1"/>
  <c r="U102" i="11"/>
  <c r="AA102" i="11" s="1"/>
  <c r="AD102" i="11" s="1"/>
  <c r="AG102" i="11" s="1"/>
  <c r="U34" i="12"/>
  <c r="V34" i="12" s="1"/>
  <c r="AB33" i="10"/>
  <c r="AE33" i="10" s="1"/>
  <c r="Y33" i="10"/>
  <c r="Z33" i="10" s="1"/>
  <c r="AC33" i="10" s="1"/>
  <c r="AF33" i="10" s="1"/>
  <c r="AL93" i="11"/>
  <c r="AH89" i="12"/>
  <c r="AI89" i="12" s="1"/>
  <c r="AH78" i="12"/>
  <c r="AI78" i="12" s="1"/>
  <c r="AL55" i="12"/>
  <c r="AJ55" i="12"/>
  <c r="AK55" i="12"/>
  <c r="X87" i="12"/>
  <c r="W87" i="12"/>
  <c r="F46" i="10"/>
  <c r="J46" i="10" s="1"/>
  <c r="N46" i="10" s="1"/>
  <c r="O46" i="10" s="1"/>
  <c r="J41" i="10"/>
  <c r="N41" i="10" s="1"/>
  <c r="O41" i="10" s="1"/>
  <c r="V28" i="10"/>
  <c r="Y74" i="11"/>
  <c r="Z74" i="11" s="1"/>
  <c r="AC74" i="11" s="1"/>
  <c r="AF74" i="11" s="1"/>
  <c r="AB74" i="11"/>
  <c r="AE74" i="11" s="1"/>
  <c r="AH90" i="12"/>
  <c r="AI90" i="12" s="1"/>
  <c r="AH52" i="11"/>
  <c r="AI52" i="11" s="1"/>
  <c r="AH24" i="12"/>
  <c r="AI24" i="12" s="1"/>
  <c r="AH80" i="11"/>
  <c r="AI80" i="11" s="1"/>
  <c r="O45" i="12"/>
  <c r="P31" i="11"/>
  <c r="U31" i="11"/>
  <c r="R26" i="10"/>
  <c r="S26" i="10"/>
  <c r="T26" i="10" s="1"/>
  <c r="X33" i="11"/>
  <c r="V119" i="12"/>
  <c r="AA119" i="12"/>
  <c r="AD119" i="12" s="1"/>
  <c r="AG119" i="12" s="1"/>
  <c r="AH92" i="12"/>
  <c r="AI92" i="12" s="1"/>
  <c r="V39" i="12"/>
  <c r="X39" i="12" s="1"/>
  <c r="AA39" i="12"/>
  <c r="AD39" i="12" s="1"/>
  <c r="AG39" i="12" s="1"/>
  <c r="AB51" i="11"/>
  <c r="AE51" i="11" s="1"/>
  <c r="Y51" i="11"/>
  <c r="Z51" i="11" s="1"/>
  <c r="AC51" i="11" s="1"/>
  <c r="AF51" i="11" s="1"/>
  <c r="AP181" i="12"/>
  <c r="H146" i="12"/>
  <c r="J145" i="12"/>
  <c r="AK32" i="10"/>
  <c r="O32" i="10"/>
  <c r="Y49" i="12"/>
  <c r="Z49" i="12" s="1"/>
  <c r="AC49" i="12" s="1"/>
  <c r="AF49" i="12" s="1"/>
  <c r="AB49" i="12"/>
  <c r="AE49" i="12" s="1"/>
  <c r="J37" i="11"/>
  <c r="N37" i="11" s="1"/>
  <c r="F42" i="11"/>
  <c r="O32" i="12"/>
  <c r="AK32" i="12"/>
  <c r="AJ79" i="12"/>
  <c r="AM79" i="12" s="1"/>
  <c r="AO79" i="12" s="1"/>
  <c r="AL79" i="12"/>
  <c r="AK79" i="12"/>
  <c r="V29" i="12"/>
  <c r="V114" i="12"/>
  <c r="AA114" i="12"/>
  <c r="AD114" i="12" s="1"/>
  <c r="AG114" i="12" s="1"/>
  <c r="Q31" i="12"/>
  <c r="U31" i="12"/>
  <c r="P31" i="12"/>
  <c r="W52" i="12"/>
  <c r="AJ50" i="12"/>
  <c r="AL50" i="12"/>
  <c r="AK50" i="12"/>
  <c r="AJ56" i="11"/>
  <c r="AL56" i="11"/>
  <c r="AK56" i="11"/>
  <c r="Z25" i="12"/>
  <c r="X25" i="12"/>
  <c r="AB25" i="12"/>
  <c r="AE25" i="12" s="1"/>
  <c r="V25" i="12"/>
  <c r="Y25" i="12"/>
  <c r="AD25" i="12"/>
  <c r="AG25" i="12" s="1"/>
  <c r="AC25" i="12"/>
  <c r="AF25" i="12" s="1"/>
  <c r="AA25" i="12"/>
  <c r="W25" i="12"/>
  <c r="R26" i="12"/>
  <c r="S26" i="12"/>
  <c r="T26" i="12" s="1"/>
  <c r="Q30" i="10"/>
  <c r="R30" i="10" s="1"/>
  <c r="S30" i="10" s="1"/>
  <c r="T30" i="10" s="1"/>
  <c r="U29" i="10"/>
  <c r="AA29" i="10" s="1"/>
  <c r="AD29" i="10" s="1"/>
  <c r="AG29" i="10" s="1"/>
  <c r="P101" i="12"/>
  <c r="Q116" i="12"/>
  <c r="R116" i="12" s="1"/>
  <c r="S116" i="12" s="1"/>
  <c r="T116" i="12" s="1"/>
  <c r="P44" i="12"/>
  <c r="Q44" i="12" s="1"/>
  <c r="R44" i="12" s="1"/>
  <c r="S44" i="12" s="1"/>
  <c r="T44" i="12" s="1"/>
  <c r="U44" i="12" s="1"/>
  <c r="P35" i="10"/>
  <c r="S26" i="11"/>
  <c r="T26" i="11" s="1"/>
  <c r="R26" i="11"/>
  <c r="V38" i="12"/>
  <c r="X38" i="12" s="1"/>
  <c r="P35" i="12"/>
  <c r="Q35" i="12" s="1"/>
  <c r="R35" i="12" s="1"/>
  <c r="S35" i="12" s="1"/>
  <c r="T35" i="12" s="1"/>
  <c r="U35" i="12" s="1"/>
  <c r="Y109" i="12"/>
  <c r="Z109" i="12" s="1"/>
  <c r="AC109" i="12" s="1"/>
  <c r="AF109" i="12" s="1"/>
  <c r="AB109" i="12"/>
  <c r="AE109" i="12" s="1"/>
  <c r="U43" i="11"/>
  <c r="V43" i="11" s="1"/>
  <c r="U34" i="11"/>
  <c r="Q121" i="12"/>
  <c r="R121" i="12" s="1"/>
  <c r="S121" i="12" s="1"/>
  <c r="T121" i="12" s="1"/>
  <c r="AH77" i="11"/>
  <c r="AI77" i="11" s="1"/>
  <c r="AK36" i="12"/>
  <c r="O36" i="12"/>
  <c r="AJ77" i="12"/>
  <c r="AM77" i="12" s="1"/>
  <c r="AO77" i="12" s="1"/>
  <c r="AL77" i="12"/>
  <c r="F42" i="10"/>
  <c r="J37" i="10"/>
  <c r="N37" i="10" s="1"/>
  <c r="P45" i="11"/>
  <c r="AJ57" i="11"/>
  <c r="AL57" i="11"/>
  <c r="AK57" i="11"/>
  <c r="P124" i="12"/>
  <c r="Q124" i="12" s="1"/>
  <c r="R124" i="12" s="1"/>
  <c r="S124" i="12" s="1"/>
  <c r="T124" i="12" s="1"/>
  <c r="F42" i="12"/>
  <c r="J37" i="12"/>
  <c r="N37" i="12" s="1"/>
  <c r="Q24" i="2"/>
  <c r="R24" i="2" s="1"/>
  <c r="S24" i="2"/>
  <c r="AM61" i="12"/>
  <c r="AM65" i="12"/>
  <c r="H141" i="12"/>
  <c r="J140" i="12"/>
  <c r="P106" i="12"/>
  <c r="Q27" i="11"/>
  <c r="U27" i="11"/>
  <c r="P27" i="11"/>
  <c r="U27" i="12"/>
  <c r="P27" i="12"/>
  <c r="Q27" i="12"/>
  <c r="P40" i="10"/>
  <c r="Q44" i="10"/>
  <c r="R44" i="10" s="1"/>
  <c r="S44" i="10" s="1"/>
  <c r="T44" i="10" s="1"/>
  <c r="AL50" i="11"/>
  <c r="AJ50" i="11"/>
  <c r="AK50" i="11"/>
  <c r="P31" i="10"/>
  <c r="Q31" i="10" s="1"/>
  <c r="R31" i="10" s="1"/>
  <c r="S31" i="10" s="1"/>
  <c r="T31" i="10" s="1"/>
  <c r="AH98" i="12"/>
  <c r="AI98" i="12" s="1"/>
  <c r="W28" i="11"/>
  <c r="X28" i="11"/>
  <c r="W28" i="12"/>
  <c r="X28" i="12"/>
  <c r="Q122" i="12"/>
  <c r="R122" i="12" s="1"/>
  <c r="S122" i="12" s="1"/>
  <c r="T122" i="12" s="1"/>
  <c r="H131" i="12"/>
  <c r="J130" i="12"/>
  <c r="V25" i="11"/>
  <c r="X25" i="11" s="1"/>
  <c r="W25" i="11"/>
  <c r="AA25" i="11"/>
  <c r="AD25" i="11" s="1"/>
  <c r="AG25" i="11" s="1"/>
  <c r="Y25" i="11"/>
  <c r="Z25" i="11" s="1"/>
  <c r="AC25" i="11" s="1"/>
  <c r="AF25" i="11" s="1"/>
  <c r="AB25" i="11"/>
  <c r="AE25" i="11" s="1"/>
  <c r="AP176" i="12"/>
  <c r="W23" i="11"/>
  <c r="X23" i="11"/>
  <c r="AA33" i="11"/>
  <c r="AD33" i="11" s="1"/>
  <c r="AG33" i="11" s="1"/>
  <c r="AM59" i="12"/>
  <c r="AH76" i="12"/>
  <c r="AI76" i="12" s="1"/>
  <c r="X66" i="12"/>
  <c r="W66" i="12"/>
  <c r="J41" i="11"/>
  <c r="N41" i="11" s="1"/>
  <c r="F46" i="11"/>
  <c r="J46" i="11" s="1"/>
  <c r="N46" i="11" s="1"/>
  <c r="O46" i="11" s="1"/>
  <c r="F46" i="12"/>
  <c r="J46" i="12" s="1"/>
  <c r="N46" i="12" s="1"/>
  <c r="J41" i="12"/>
  <c r="N41" i="12" s="1"/>
  <c r="AB67" i="12"/>
  <c r="AE67" i="12" s="1"/>
  <c r="Y67" i="12"/>
  <c r="Z67" i="12" s="1"/>
  <c r="AC67" i="12" s="1"/>
  <c r="AF67" i="12" s="1"/>
  <c r="S30" i="12"/>
  <c r="T30" i="12" s="1"/>
  <c r="R30" i="12"/>
  <c r="O40" i="11"/>
  <c r="P39" i="11"/>
  <c r="AJ75" i="12"/>
  <c r="AM75" i="12" s="1"/>
  <c r="AO75" i="12" s="1"/>
  <c r="AL75" i="12"/>
  <c r="AB51" i="12"/>
  <c r="AE51" i="12" s="1"/>
  <c r="Y51" i="12"/>
  <c r="Z51" i="12" s="1"/>
  <c r="AC51" i="12" s="1"/>
  <c r="AF51" i="12" s="1"/>
  <c r="H126" i="12"/>
  <c r="J125" i="12"/>
  <c r="N125" i="12" s="1"/>
  <c r="O125" i="12" s="1"/>
  <c r="AH54" i="12"/>
  <c r="AI54" i="12" s="1"/>
  <c r="AL24" i="11"/>
  <c r="AJ24" i="11"/>
  <c r="AM24" i="11" s="1"/>
  <c r="AO24" i="11" s="1"/>
  <c r="AM62" i="12"/>
  <c r="Y23" i="10"/>
  <c r="Z23" i="10" s="1"/>
  <c r="AC23" i="10" s="1"/>
  <c r="AF23" i="10" s="1"/>
  <c r="AB23" i="10"/>
  <c r="AE23" i="10" s="1"/>
  <c r="AA33" i="10"/>
  <c r="AD33" i="10" s="1"/>
  <c r="AG33" i="10" s="1"/>
  <c r="AM70" i="12"/>
  <c r="P102" i="12"/>
  <c r="P27" i="10"/>
  <c r="U27" i="10"/>
  <c r="Q27" i="10"/>
  <c r="V44" i="11"/>
  <c r="X44" i="11" s="1"/>
  <c r="AA44" i="11"/>
  <c r="AD44" i="11" s="1"/>
  <c r="AG44" i="11" s="1"/>
  <c r="O36" i="10"/>
  <c r="AA117" i="12"/>
  <c r="AD117" i="12" s="1"/>
  <c r="AG117" i="12" s="1"/>
  <c r="AB117" i="12"/>
  <c r="AE117" i="12" s="1"/>
  <c r="P45" i="10"/>
  <c r="AJ95" i="12"/>
  <c r="AL95" i="12"/>
  <c r="AK95" i="12"/>
  <c r="X96" i="12"/>
  <c r="W96" i="12"/>
  <c r="AN184" i="12"/>
  <c r="AN194" i="12"/>
  <c r="AO194" i="12" s="1"/>
  <c r="AP191" i="12" s="1"/>
  <c r="AN179" i="12"/>
  <c r="AN189" i="12"/>
  <c r="AO189" i="12" s="1"/>
  <c r="AP186" i="12" s="1"/>
  <c r="AN199" i="12"/>
  <c r="AO199" i="12" s="1"/>
  <c r="AP196" i="12" s="1"/>
  <c r="AB113" i="12"/>
  <c r="AE113" i="12" s="1"/>
  <c r="Y113" i="12"/>
  <c r="Z113" i="12" s="1"/>
  <c r="AC113" i="12" s="1"/>
  <c r="AF113" i="12" s="1"/>
  <c r="H137" i="12"/>
  <c r="J137" i="12" s="1"/>
  <c r="J136" i="12"/>
  <c r="O40" i="12"/>
  <c r="AL76" i="11"/>
  <c r="AJ76" i="11"/>
  <c r="AM76" i="11" s="1"/>
  <c r="AO76" i="11" s="1"/>
  <c r="X71" i="12"/>
  <c r="W71" i="12"/>
  <c r="AJ68" i="12"/>
  <c r="AL68" i="12"/>
  <c r="AK68" i="12"/>
  <c r="AB88" i="11"/>
  <c r="AE88" i="11" s="1"/>
  <c r="Y88" i="11"/>
  <c r="Z88" i="11" s="1"/>
  <c r="AC88" i="11" s="1"/>
  <c r="AF88" i="11" s="1"/>
  <c r="AL75" i="11"/>
  <c r="AJ75" i="11"/>
  <c r="AM75" i="11" s="1"/>
  <c r="AO75" i="11" s="1"/>
  <c r="Y103" i="12"/>
  <c r="Z103" i="12" s="1"/>
  <c r="AC103" i="12" s="1"/>
  <c r="AF103" i="12" s="1"/>
  <c r="AB103" i="12"/>
  <c r="AE103" i="12" s="1"/>
  <c r="X118" i="12"/>
  <c r="W118" i="12"/>
  <c r="X38" i="10"/>
  <c r="AA38" i="10"/>
  <c r="AD38" i="10" s="1"/>
  <c r="AG38" i="10" s="1"/>
  <c r="U104" i="12"/>
  <c r="AA104" i="12" s="1"/>
  <c r="AD104" i="12" s="1"/>
  <c r="AG104" i="12" s="1"/>
  <c r="U120" i="12"/>
  <c r="AA120" i="12" s="1"/>
  <c r="AD120" i="12" s="1"/>
  <c r="AG120" i="12" s="1"/>
  <c r="U43" i="10"/>
  <c r="V43" i="10" s="1"/>
  <c r="X43" i="10" s="1"/>
  <c r="P36" i="11"/>
  <c r="R36" i="11" s="1"/>
  <c r="S36" i="11" s="1"/>
  <c r="T36" i="11" s="1"/>
  <c r="Q36" i="11"/>
  <c r="U36" i="11"/>
  <c r="Q30" i="11"/>
  <c r="S30" i="11"/>
  <c r="T30" i="11" s="1"/>
  <c r="R30" i="11"/>
  <c r="AL82" i="12"/>
  <c r="AJ82" i="12"/>
  <c r="AM82" i="12" s="1"/>
  <c r="AO82" i="12" s="1"/>
  <c r="AB72" i="12"/>
  <c r="AE72" i="12" s="1"/>
  <c r="Y72" i="12"/>
  <c r="Z72" i="12" s="1"/>
  <c r="AC72" i="12" s="1"/>
  <c r="AF72" i="12" s="1"/>
  <c r="AJ91" i="12"/>
  <c r="AM91" i="12" s="1"/>
  <c r="AO91" i="12" s="1"/>
  <c r="AL91" i="12"/>
  <c r="AK91" i="12"/>
  <c r="U38" i="11"/>
  <c r="P107" i="12"/>
  <c r="Y83" i="12"/>
  <c r="Z83" i="12" s="1"/>
  <c r="AC83" i="12" s="1"/>
  <c r="AF83" i="12" s="1"/>
  <c r="AB83" i="12"/>
  <c r="AE83" i="12" s="1"/>
  <c r="AK32" i="11"/>
  <c r="O32" i="11"/>
  <c r="Y57" i="12"/>
  <c r="Z57" i="12" s="1"/>
  <c r="AC57" i="12" s="1"/>
  <c r="AF57" i="12" s="1"/>
  <c r="AB57" i="12"/>
  <c r="AE57" i="12" s="1"/>
  <c r="Z56" i="12"/>
  <c r="AC56" i="12" s="1"/>
  <c r="AF56" i="12" s="1"/>
  <c r="AH56" i="12" s="1"/>
  <c r="AI56" i="12" s="1"/>
  <c r="AH24" i="10"/>
  <c r="AI24" i="10" s="1"/>
  <c r="V115" i="12"/>
  <c r="AM69" i="11"/>
  <c r="AH99" i="10"/>
  <c r="AI99" i="10" s="1"/>
  <c r="AJ99" i="10" s="1"/>
  <c r="AM195" i="10"/>
  <c r="AH91" i="10"/>
  <c r="AI91" i="10" s="1"/>
  <c r="AM70" i="11"/>
  <c r="U101" i="10"/>
  <c r="AA101" i="10" s="1"/>
  <c r="AD101" i="10" s="1"/>
  <c r="AG101" i="10" s="1"/>
  <c r="AL175" i="10"/>
  <c r="AK98" i="10"/>
  <c r="AJ98" i="10"/>
  <c r="AL98" i="10"/>
  <c r="AJ195" i="11"/>
  <c r="AM194" i="10"/>
  <c r="V100" i="10"/>
  <c r="AH97" i="10"/>
  <c r="AI97" i="10" s="1"/>
  <c r="AL199" i="10"/>
  <c r="AM199" i="10" s="1"/>
  <c r="AM60" i="10"/>
  <c r="AM93" i="10"/>
  <c r="AK195" i="11"/>
  <c r="AH194" i="11"/>
  <c r="AI194" i="11" s="1"/>
  <c r="AL194" i="11" s="1"/>
  <c r="AH112" i="12"/>
  <c r="AI112" i="12" s="1"/>
  <c r="AL112" i="12" s="1"/>
  <c r="L130" i="12"/>
  <c r="M130" i="12" s="1"/>
  <c r="K131" i="12"/>
  <c r="O129" i="12"/>
  <c r="AJ112" i="12"/>
  <c r="P128" i="12"/>
  <c r="Q128" i="12" s="1"/>
  <c r="AL189" i="11"/>
  <c r="AJ189" i="11"/>
  <c r="AK189" i="11"/>
  <c r="AM196" i="11"/>
  <c r="AO196" i="11" s="1"/>
  <c r="Y91" i="11"/>
  <c r="Z91" i="11" s="1"/>
  <c r="AC91" i="11" s="1"/>
  <c r="AF91" i="11" s="1"/>
  <c r="AB91" i="11"/>
  <c r="AE91" i="11" s="1"/>
  <c r="AH86" i="11"/>
  <c r="AI86" i="11" s="1"/>
  <c r="AM67" i="11"/>
  <c r="AH72" i="11"/>
  <c r="AI72" i="11" s="1"/>
  <c r="AJ72" i="11" s="1"/>
  <c r="U100" i="11"/>
  <c r="AA100" i="11" s="1"/>
  <c r="AD100" i="11" s="1"/>
  <c r="AG100" i="11" s="1"/>
  <c r="AL71" i="11"/>
  <c r="AJ71" i="11"/>
  <c r="AK71" i="11"/>
  <c r="O103" i="11"/>
  <c r="AB87" i="11"/>
  <c r="AE87" i="11" s="1"/>
  <c r="Y87" i="11"/>
  <c r="Z87" i="11" s="1"/>
  <c r="AC87" i="11" s="1"/>
  <c r="AF87" i="11" s="1"/>
  <c r="AM61" i="11"/>
  <c r="R101" i="11"/>
  <c r="S101" i="11" s="1"/>
  <c r="T101" i="11" s="1"/>
  <c r="W97" i="11"/>
  <c r="X97" i="11"/>
  <c r="AL92" i="11"/>
  <c r="AJ92" i="11"/>
  <c r="AK92" i="11"/>
  <c r="Y96" i="11"/>
  <c r="Z96" i="11" s="1"/>
  <c r="AC96" i="11" s="1"/>
  <c r="AF96" i="11" s="1"/>
  <c r="AB96" i="11"/>
  <c r="AE96" i="11" s="1"/>
  <c r="AB95" i="11"/>
  <c r="AE95" i="11" s="1"/>
  <c r="Y95" i="11"/>
  <c r="Z95" i="11" s="1"/>
  <c r="AC95" i="11" s="1"/>
  <c r="AF95" i="11" s="1"/>
  <c r="AK36" i="11"/>
  <c r="AJ85" i="11"/>
  <c r="AL85" i="11"/>
  <c r="AK85" i="11"/>
  <c r="AA99" i="11"/>
  <c r="AD99" i="11" s="1"/>
  <c r="AG99" i="11" s="1"/>
  <c r="L104" i="11"/>
  <c r="M104" i="11" s="1"/>
  <c r="N104" i="11" s="1"/>
  <c r="K105" i="11"/>
  <c r="AJ199" i="11"/>
  <c r="AL199" i="11"/>
  <c r="AK199" i="11"/>
  <c r="AL190" i="11"/>
  <c r="AJ190" i="11"/>
  <c r="AM190" i="11" s="1"/>
  <c r="AO190" i="11" s="1"/>
  <c r="AK190" i="11"/>
  <c r="AB98" i="11"/>
  <c r="AE98" i="11" s="1"/>
  <c r="Y98" i="11"/>
  <c r="Z98" i="11" s="1"/>
  <c r="AC98" i="11" s="1"/>
  <c r="AF98" i="11" s="1"/>
  <c r="AM198" i="11"/>
  <c r="AO198" i="11" s="1"/>
  <c r="AM90" i="11"/>
  <c r="V99" i="11"/>
  <c r="AM69" i="10"/>
  <c r="AH90" i="10"/>
  <c r="AI90" i="10" s="1"/>
  <c r="AK90" i="10" s="1"/>
  <c r="AJ159" i="2"/>
  <c r="AM159" i="2" s="1"/>
  <c r="AO159" i="2" s="1"/>
  <c r="AL159" i="2"/>
  <c r="O53" i="2"/>
  <c r="P53" i="2" s="1"/>
  <c r="Q53" i="2" s="1"/>
  <c r="AH190" i="2"/>
  <c r="AI190" i="2" s="1"/>
  <c r="O74" i="2"/>
  <c r="U74" i="2" s="1"/>
  <c r="AK74" i="2"/>
  <c r="U156" i="2"/>
  <c r="O164" i="2"/>
  <c r="U164" i="2" s="1"/>
  <c r="AK164" i="2"/>
  <c r="T24" i="2"/>
  <c r="AH160" i="2"/>
  <c r="AI160" i="2" s="1"/>
  <c r="AM88" i="10"/>
  <c r="X96" i="10"/>
  <c r="W96" i="10"/>
  <c r="AH70" i="10"/>
  <c r="AI70" i="10" s="1"/>
  <c r="AL70" i="10" s="1"/>
  <c r="AO193" i="10"/>
  <c r="AL89" i="10"/>
  <c r="AJ89" i="10"/>
  <c r="AK89" i="10"/>
  <c r="AM175" i="10"/>
  <c r="AO175" i="10" s="1"/>
  <c r="AJ198" i="10"/>
  <c r="AL198" i="10"/>
  <c r="AK198" i="10"/>
  <c r="L104" i="10"/>
  <c r="M104" i="10" s="1"/>
  <c r="N104" i="10" s="1"/>
  <c r="O104" i="10" s="1"/>
  <c r="P104" i="10" s="1"/>
  <c r="K105" i="10"/>
  <c r="AH66" i="10"/>
  <c r="AI66" i="10" s="1"/>
  <c r="AM65" i="10"/>
  <c r="AH72" i="10"/>
  <c r="AI72" i="10" s="1"/>
  <c r="AH169" i="10"/>
  <c r="AI169" i="10" s="1"/>
  <c r="AB71" i="10"/>
  <c r="AE71" i="10" s="1"/>
  <c r="Y71" i="10"/>
  <c r="Z71" i="10" s="1"/>
  <c r="AC71" i="10" s="1"/>
  <c r="AF71" i="10" s="1"/>
  <c r="Y95" i="10"/>
  <c r="Z95" i="10" s="1"/>
  <c r="AC95" i="10" s="1"/>
  <c r="AF95" i="10" s="1"/>
  <c r="AB95" i="10"/>
  <c r="AE95" i="10" s="1"/>
  <c r="AM84" i="10"/>
  <c r="O103" i="10"/>
  <c r="AM167" i="10"/>
  <c r="AO167" i="10" s="1"/>
  <c r="AM174" i="10"/>
  <c r="AO174" i="10" s="1"/>
  <c r="AM94" i="10"/>
  <c r="AM132" i="2"/>
  <c r="S181" i="2"/>
  <c r="T181" i="2" s="1"/>
  <c r="O50" i="2"/>
  <c r="U50" i="2" s="1"/>
  <c r="K185" i="2"/>
  <c r="L184" i="2"/>
  <c r="M184" i="2" s="1"/>
  <c r="K79" i="2"/>
  <c r="L78" i="2"/>
  <c r="M78" i="2" s="1"/>
  <c r="N78" i="2" s="1"/>
  <c r="I170" i="2"/>
  <c r="J170" i="2" s="1"/>
  <c r="N170" i="2" s="1"/>
  <c r="AK170" i="2" s="1"/>
  <c r="J169" i="2"/>
  <c r="O165" i="2"/>
  <c r="U165" i="2" s="1"/>
  <c r="K161" i="2"/>
  <c r="L160" i="2"/>
  <c r="M160" i="2" s="1"/>
  <c r="O25" i="2"/>
  <c r="U25" i="2" s="1"/>
  <c r="R49" i="2"/>
  <c r="S49" i="2" s="1"/>
  <c r="T49" i="2" s="1"/>
  <c r="K55" i="2"/>
  <c r="L54" i="2"/>
  <c r="M54" i="2" s="1"/>
  <c r="N54" i="2" s="1"/>
  <c r="H39" i="2"/>
  <c r="H40" i="2" s="1"/>
  <c r="H41" i="2" s="1"/>
  <c r="H42" i="2" s="1"/>
  <c r="F61" i="2"/>
  <c r="J61" i="2" s="1"/>
  <c r="N61" i="2" s="1"/>
  <c r="AK61" i="2" s="1"/>
  <c r="F56" i="2"/>
  <c r="J56" i="2" s="1"/>
  <c r="N56" i="2" s="1"/>
  <c r="AK56" i="2" s="1"/>
  <c r="F71" i="2"/>
  <c r="J71" i="2" s="1"/>
  <c r="F66" i="2"/>
  <c r="J66" i="2" s="1"/>
  <c r="F51" i="2"/>
  <c r="J51" i="2" s="1"/>
  <c r="N51" i="2" s="1"/>
  <c r="AK51" i="2" s="1"/>
  <c r="H43" i="2"/>
  <c r="I174" i="2"/>
  <c r="J173" i="2"/>
  <c r="J26" i="2"/>
  <c r="N26" i="2" s="1"/>
  <c r="AK26" i="2" s="1"/>
  <c r="F27" i="2"/>
  <c r="J27" i="2" s="1"/>
  <c r="N27" i="2" s="1"/>
  <c r="AK27" i="2" s="1"/>
  <c r="Q157" i="2"/>
  <c r="R157" i="2" s="1"/>
  <c r="O55" i="2"/>
  <c r="U55" i="2" s="1"/>
  <c r="K38" i="2"/>
  <c r="L33" i="2"/>
  <c r="M33" i="2" s="1"/>
  <c r="K34" i="2"/>
  <c r="O29" i="2"/>
  <c r="I31" i="2"/>
  <c r="J30" i="2"/>
  <c r="N30" i="2" s="1"/>
  <c r="P28" i="2"/>
  <c r="J84" i="2"/>
  <c r="J79" i="2"/>
  <c r="N79" i="2" s="1"/>
  <c r="AK79" i="2" s="1"/>
  <c r="J77" i="2"/>
  <c r="N77" i="2" s="1"/>
  <c r="AK77" i="2" s="1"/>
  <c r="AP151" i="2"/>
  <c r="R23" i="2"/>
  <c r="I98" i="2"/>
  <c r="V43" i="12" l="1"/>
  <c r="W43" i="12" s="1"/>
  <c r="AK72" i="11"/>
  <c r="AK194" i="11"/>
  <c r="AL72" i="11"/>
  <c r="AM72" i="11" s="1"/>
  <c r="X117" i="12"/>
  <c r="Z117" i="12" s="1"/>
  <c r="AC117" i="12" s="1"/>
  <c r="AF117" i="12" s="1"/>
  <c r="W35" i="11"/>
  <c r="AB35" i="11" s="1"/>
  <c r="AE35" i="11" s="1"/>
  <c r="W43" i="10"/>
  <c r="AH113" i="12"/>
  <c r="AI113" i="12" s="1"/>
  <c r="AK113" i="12" s="1"/>
  <c r="AH51" i="12"/>
  <c r="AI51" i="12" s="1"/>
  <c r="AH67" i="12"/>
  <c r="AI67" i="12" s="1"/>
  <c r="AM50" i="11"/>
  <c r="AH49" i="12"/>
  <c r="AI49" i="12" s="1"/>
  <c r="AK49" i="12" s="1"/>
  <c r="AH51" i="11"/>
  <c r="AI51" i="11" s="1"/>
  <c r="AM55" i="12"/>
  <c r="V105" i="12"/>
  <c r="X105" i="12" s="1"/>
  <c r="AM93" i="11"/>
  <c r="V120" i="12"/>
  <c r="X120" i="12" s="1"/>
  <c r="AB38" i="10"/>
  <c r="AE38" i="10" s="1"/>
  <c r="Y38" i="10"/>
  <c r="Z38" i="10" s="1"/>
  <c r="AC38" i="10" s="1"/>
  <c r="AF38" i="10" s="1"/>
  <c r="AJ25" i="10"/>
  <c r="AM25" i="10" s="1"/>
  <c r="AO25" i="10" s="1"/>
  <c r="AK25" i="10"/>
  <c r="AL25" i="10"/>
  <c r="Z33" i="11"/>
  <c r="AC33" i="11" s="1"/>
  <c r="AF33" i="11" s="1"/>
  <c r="Q74" i="2"/>
  <c r="P74" i="2"/>
  <c r="R74" i="2" s="1"/>
  <c r="AJ194" i="11"/>
  <c r="N130" i="12"/>
  <c r="AL99" i="10"/>
  <c r="AM99" i="10" s="1"/>
  <c r="AH88" i="11"/>
  <c r="AI88" i="11" s="1"/>
  <c r="AJ88" i="11" s="1"/>
  <c r="AK29" i="11"/>
  <c r="AL29" i="11"/>
  <c r="AL93" i="12"/>
  <c r="AJ93" i="12"/>
  <c r="AK93" i="12"/>
  <c r="AH57" i="12"/>
  <c r="AI57" i="12" s="1"/>
  <c r="AH83" i="12"/>
  <c r="AI83" i="12" s="1"/>
  <c r="AJ83" i="12" s="1"/>
  <c r="AM68" i="12"/>
  <c r="W44" i="11"/>
  <c r="Y44" i="11" s="1"/>
  <c r="AH25" i="11"/>
  <c r="AI25" i="11" s="1"/>
  <c r="W38" i="12"/>
  <c r="X43" i="12"/>
  <c r="AA35" i="12"/>
  <c r="AD35" i="12" s="1"/>
  <c r="AG35" i="12" s="1"/>
  <c r="X34" i="12"/>
  <c r="W34" i="12"/>
  <c r="U122" i="12"/>
  <c r="V122" i="12" s="1"/>
  <c r="X122" i="12" s="1"/>
  <c r="U30" i="10"/>
  <c r="Z44" i="11"/>
  <c r="AC44" i="11" s="1"/>
  <c r="AF44" i="11" s="1"/>
  <c r="W100" i="12"/>
  <c r="X100" i="12"/>
  <c r="U124" i="12"/>
  <c r="AA124" i="12" s="1"/>
  <c r="AD124" i="12" s="1"/>
  <c r="AG124" i="12" s="1"/>
  <c r="X43" i="11"/>
  <c r="W43" i="11"/>
  <c r="U31" i="10"/>
  <c r="AA31" i="10" s="1"/>
  <c r="AD31" i="10" s="1"/>
  <c r="AG31" i="10" s="1"/>
  <c r="Y43" i="12"/>
  <c r="Z43" i="12" s="1"/>
  <c r="AC43" i="12" s="1"/>
  <c r="AF43" i="12" s="1"/>
  <c r="AB43" i="12"/>
  <c r="AE43" i="12" s="1"/>
  <c r="AK99" i="10"/>
  <c r="Q107" i="12"/>
  <c r="R107" i="12" s="1"/>
  <c r="S107" i="12" s="1"/>
  <c r="T107" i="12" s="1"/>
  <c r="AH72" i="12"/>
  <c r="AI72" i="12" s="1"/>
  <c r="V30" i="11"/>
  <c r="W30" i="11" s="1"/>
  <c r="AA30" i="11"/>
  <c r="AD30" i="11" s="1"/>
  <c r="AG30" i="11" s="1"/>
  <c r="Y30" i="11"/>
  <c r="X30" i="11"/>
  <c r="AB30" i="11"/>
  <c r="AE30" i="11" s="1"/>
  <c r="Z30" i="11"/>
  <c r="AC30" i="11" s="1"/>
  <c r="AF30" i="11" s="1"/>
  <c r="AH30" i="11" s="1"/>
  <c r="AI30" i="11" s="1"/>
  <c r="AA36" i="11"/>
  <c r="AD36" i="11"/>
  <c r="AG36" i="11" s="1"/>
  <c r="V36" i="11"/>
  <c r="X36" i="11"/>
  <c r="W36" i="11"/>
  <c r="Y36" i="11"/>
  <c r="Z36" i="11" s="1"/>
  <c r="AC36" i="11" s="1"/>
  <c r="AF36" i="11" s="1"/>
  <c r="AB36" i="11"/>
  <c r="AE36" i="11" s="1"/>
  <c r="AA43" i="10"/>
  <c r="AD43" i="10" s="1"/>
  <c r="AG43" i="10" s="1"/>
  <c r="W120" i="12"/>
  <c r="AH103" i="12"/>
  <c r="AI103" i="12" s="1"/>
  <c r="Y96" i="12"/>
  <c r="Z96" i="12" s="1"/>
  <c r="AC96" i="12" s="1"/>
  <c r="AF96" i="12" s="1"/>
  <c r="AB96" i="12"/>
  <c r="AE96" i="12" s="1"/>
  <c r="AH96" i="12" s="1"/>
  <c r="AI96" i="12" s="1"/>
  <c r="AM95" i="12"/>
  <c r="Q102" i="12"/>
  <c r="R102" i="12" s="1"/>
  <c r="S102" i="12" s="1"/>
  <c r="T102" i="12" s="1"/>
  <c r="AH23" i="10"/>
  <c r="AI23" i="10" s="1"/>
  <c r="O41" i="12"/>
  <c r="Q40" i="10"/>
  <c r="R40" i="10" s="1"/>
  <c r="S40" i="10" s="1"/>
  <c r="T40" i="10" s="1"/>
  <c r="S27" i="11"/>
  <c r="T27" i="11" s="1"/>
  <c r="R27" i="11"/>
  <c r="Q106" i="12"/>
  <c r="R106" i="12" s="1"/>
  <c r="S106" i="12" s="1"/>
  <c r="T106" i="12" s="1"/>
  <c r="F47" i="12"/>
  <c r="J47" i="12" s="1"/>
  <c r="N47" i="12" s="1"/>
  <c r="J42" i="12"/>
  <c r="N42" i="12" s="1"/>
  <c r="Q45" i="11"/>
  <c r="R45" i="11" s="1"/>
  <c r="S45" i="11" s="1"/>
  <c r="T45" i="11" s="1"/>
  <c r="AL77" i="11"/>
  <c r="AJ77" i="11"/>
  <c r="AM77" i="11" s="1"/>
  <c r="AO77" i="11" s="1"/>
  <c r="V34" i="11"/>
  <c r="AA34" i="11"/>
  <c r="AD34" i="11" s="1"/>
  <c r="AG34" i="11" s="1"/>
  <c r="AD26" i="11"/>
  <c r="AG26" i="11" s="1"/>
  <c r="AC26" i="11"/>
  <c r="AF26" i="11" s="1"/>
  <c r="Y26" i="11"/>
  <c r="X26" i="11"/>
  <c r="Z26" i="11"/>
  <c r="AB26" i="11"/>
  <c r="AE26" i="11" s="1"/>
  <c r="W26" i="11"/>
  <c r="V26" i="11"/>
  <c r="AA26" i="11"/>
  <c r="V29" i="10"/>
  <c r="AA26" i="12"/>
  <c r="W26" i="12"/>
  <c r="Y26" i="12"/>
  <c r="V26" i="12"/>
  <c r="X26" i="12"/>
  <c r="AC26" i="12"/>
  <c r="AF26" i="12" s="1"/>
  <c r="AB26" i="12"/>
  <c r="AE26" i="12" s="1"/>
  <c r="Z26" i="12"/>
  <c r="AD26" i="12"/>
  <c r="AG26" i="12" s="1"/>
  <c r="AH25" i="12"/>
  <c r="AI25" i="12" s="1"/>
  <c r="AM50" i="12"/>
  <c r="W114" i="12"/>
  <c r="X114" i="12"/>
  <c r="P32" i="12"/>
  <c r="Q32" i="12"/>
  <c r="U32" i="12"/>
  <c r="H147" i="12"/>
  <c r="J147" i="12" s="1"/>
  <c r="J146" i="12"/>
  <c r="P45" i="12"/>
  <c r="Q45" i="12" s="1"/>
  <c r="R45" i="12" s="1"/>
  <c r="S45" i="12" s="1"/>
  <c r="T45" i="12" s="1"/>
  <c r="U45" i="12" s="1"/>
  <c r="AJ52" i="11"/>
  <c r="AM52" i="11" s="1"/>
  <c r="AL52" i="11"/>
  <c r="AK52" i="11"/>
  <c r="AB87" i="12"/>
  <c r="AE87" i="12" s="1"/>
  <c r="Y87" i="12"/>
  <c r="Z87" i="12" s="1"/>
  <c r="AC87" i="12" s="1"/>
  <c r="AF87" i="12" s="1"/>
  <c r="V34" i="10"/>
  <c r="Y35" i="11"/>
  <c r="Z35" i="11" s="1"/>
  <c r="AC35" i="11" s="1"/>
  <c r="AF35" i="11" s="1"/>
  <c r="V33" i="12"/>
  <c r="AM99" i="12"/>
  <c r="Q164" i="2"/>
  <c r="AJ57" i="12"/>
  <c r="AM57" i="12" s="1"/>
  <c r="AL57" i="12"/>
  <c r="AK57" i="12"/>
  <c r="AL88" i="11"/>
  <c r="AB71" i="12"/>
  <c r="AE71" i="12" s="1"/>
  <c r="Y71" i="12"/>
  <c r="Z71" i="12" s="1"/>
  <c r="AC71" i="12" s="1"/>
  <c r="AF71" i="12" s="1"/>
  <c r="AJ113" i="12"/>
  <c r="P36" i="10"/>
  <c r="AJ54" i="12"/>
  <c r="AL54" i="12"/>
  <c r="AK54" i="12"/>
  <c r="AL51" i="12"/>
  <c r="AJ51" i="12"/>
  <c r="AM51" i="12" s="1"/>
  <c r="AK51" i="12"/>
  <c r="Q39" i="11"/>
  <c r="R39" i="11" s="1"/>
  <c r="S39" i="11" s="1"/>
  <c r="T39" i="11" s="1"/>
  <c r="AC30" i="12"/>
  <c r="AF30" i="12" s="1"/>
  <c r="X30" i="12"/>
  <c r="V30" i="12"/>
  <c r="AA30" i="12"/>
  <c r="W30" i="12"/>
  <c r="Y30" i="12"/>
  <c r="AB30" i="12"/>
  <c r="AE30" i="12" s="1"/>
  <c r="AD30" i="12"/>
  <c r="AG30" i="12" s="1"/>
  <c r="Z30" i="12"/>
  <c r="O46" i="12"/>
  <c r="AB66" i="12"/>
  <c r="AE66" i="12" s="1"/>
  <c r="Y66" i="12"/>
  <c r="Z66" i="12" s="1"/>
  <c r="AC66" i="12" s="1"/>
  <c r="AF66" i="12" s="1"/>
  <c r="AL25" i="11"/>
  <c r="AJ25" i="11"/>
  <c r="AM25" i="11" s="1"/>
  <c r="AO25" i="11" s="1"/>
  <c r="AB28" i="11"/>
  <c r="AE28" i="11" s="1"/>
  <c r="Y28" i="11"/>
  <c r="Z28" i="11" s="1"/>
  <c r="AC28" i="11" s="1"/>
  <c r="AF28" i="11" s="1"/>
  <c r="U44" i="10"/>
  <c r="AA44" i="10" s="1"/>
  <c r="AD44" i="10" s="1"/>
  <c r="AG44" i="10" s="1"/>
  <c r="O37" i="10"/>
  <c r="U121" i="12"/>
  <c r="AA43" i="11"/>
  <c r="AD43" i="11" s="1"/>
  <c r="AG43" i="11" s="1"/>
  <c r="V35" i="12"/>
  <c r="W35" i="12" s="1"/>
  <c r="AB35" i="12" s="1"/>
  <c r="AE35" i="12" s="1"/>
  <c r="AA44" i="12"/>
  <c r="AD44" i="12" s="1"/>
  <c r="AG44" i="12" s="1"/>
  <c r="V44" i="12"/>
  <c r="W44" i="12" s="1"/>
  <c r="AM56" i="11"/>
  <c r="AB52" i="12"/>
  <c r="AE52" i="12" s="1"/>
  <c r="Y52" i="12"/>
  <c r="Z52" i="12" s="1"/>
  <c r="AC52" i="12" s="1"/>
  <c r="AF52" i="12" s="1"/>
  <c r="F47" i="11"/>
  <c r="J47" i="11" s="1"/>
  <c r="N47" i="11" s="1"/>
  <c r="O47" i="11" s="1"/>
  <c r="J42" i="11"/>
  <c r="N42" i="11" s="1"/>
  <c r="Q32" i="10"/>
  <c r="U32" i="10"/>
  <c r="P32" i="10"/>
  <c r="W119" i="12"/>
  <c r="X119" i="12"/>
  <c r="AJ80" i="11"/>
  <c r="AM80" i="11" s="1"/>
  <c r="AL80" i="11"/>
  <c r="AK80" i="11"/>
  <c r="AL90" i="12"/>
  <c r="AJ90" i="12"/>
  <c r="AK90" i="12"/>
  <c r="X28" i="10"/>
  <c r="W28" i="10"/>
  <c r="AL78" i="12"/>
  <c r="AJ78" i="12"/>
  <c r="AK78" i="12"/>
  <c r="V39" i="10"/>
  <c r="W105" i="12"/>
  <c r="P164" i="2"/>
  <c r="S164" i="2" s="1"/>
  <c r="T164" i="2" s="1"/>
  <c r="X115" i="12"/>
  <c r="W115" i="12"/>
  <c r="V38" i="11"/>
  <c r="Y118" i="12"/>
  <c r="Z118" i="12" s="1"/>
  <c r="AC118" i="12" s="1"/>
  <c r="AF118" i="12" s="1"/>
  <c r="AB118" i="12"/>
  <c r="AE118" i="12" s="1"/>
  <c r="P40" i="12"/>
  <c r="Q40" i="12"/>
  <c r="R40" i="12" s="1"/>
  <c r="S40" i="12" s="1"/>
  <c r="T40" i="12" s="1"/>
  <c r="U40" i="12" s="1"/>
  <c r="Q45" i="10"/>
  <c r="R45" i="10" s="1"/>
  <c r="S45" i="10" s="1"/>
  <c r="T45" i="10" s="1"/>
  <c r="AB44" i="11"/>
  <c r="AE44" i="11" s="1"/>
  <c r="AH44" i="11" s="1"/>
  <c r="AI44" i="11" s="1"/>
  <c r="S27" i="10"/>
  <c r="T27" i="10" s="1"/>
  <c r="R27" i="10"/>
  <c r="P125" i="12"/>
  <c r="P46" i="11"/>
  <c r="Q46" i="11" s="1"/>
  <c r="R46" i="11" s="1"/>
  <c r="S46" i="11" s="1"/>
  <c r="T46" i="11" s="1"/>
  <c r="AL98" i="12"/>
  <c r="AJ98" i="12"/>
  <c r="AK98" i="12"/>
  <c r="S27" i="12"/>
  <c r="T27" i="12" s="1"/>
  <c r="R27" i="12"/>
  <c r="H142" i="12"/>
  <c r="J142" i="12" s="1"/>
  <c r="J141" i="12"/>
  <c r="AM57" i="11"/>
  <c r="F47" i="10"/>
  <c r="J47" i="10" s="1"/>
  <c r="N47" i="10" s="1"/>
  <c r="J42" i="10"/>
  <c r="N42" i="10" s="1"/>
  <c r="Q36" i="12"/>
  <c r="U36" i="12"/>
  <c r="P36" i="12"/>
  <c r="AH109" i="12"/>
  <c r="AI109" i="12" s="1"/>
  <c r="Q101" i="12"/>
  <c r="R101" i="12" s="1"/>
  <c r="S101" i="12" s="1"/>
  <c r="T101" i="12" s="1"/>
  <c r="R31" i="12"/>
  <c r="S31" i="12"/>
  <c r="T31" i="12" s="1"/>
  <c r="O37" i="11"/>
  <c r="AK37" i="11"/>
  <c r="W39" i="12"/>
  <c r="AL92" i="12"/>
  <c r="AJ92" i="12"/>
  <c r="AM92" i="12" s="1"/>
  <c r="AO92" i="12" s="1"/>
  <c r="AK92" i="12"/>
  <c r="Q31" i="11"/>
  <c r="R31" i="11"/>
  <c r="S31" i="11" s="1"/>
  <c r="T31" i="11" s="1"/>
  <c r="V31" i="11" s="1"/>
  <c r="AH74" i="11"/>
  <c r="AI74" i="11" s="1"/>
  <c r="P41" i="10"/>
  <c r="Q41" i="10" s="1"/>
  <c r="R41" i="10" s="1"/>
  <c r="S41" i="10" s="1"/>
  <c r="T41" i="10" s="1"/>
  <c r="U41" i="10" s="1"/>
  <c r="AJ89" i="12"/>
  <c r="AL89" i="12"/>
  <c r="AK89" i="12"/>
  <c r="AH33" i="10"/>
  <c r="AI33" i="10" s="1"/>
  <c r="AH33" i="11"/>
  <c r="AI33" i="11" s="1"/>
  <c r="AA35" i="11"/>
  <c r="AD35" i="11" s="1"/>
  <c r="AG35" i="11" s="1"/>
  <c r="AH88" i="12"/>
  <c r="AI88" i="12" s="1"/>
  <c r="W123" i="12"/>
  <c r="AJ24" i="10"/>
  <c r="AM24" i="10" s="1"/>
  <c r="AO24" i="10" s="1"/>
  <c r="AL24" i="10"/>
  <c r="AK24" i="10"/>
  <c r="Q32" i="11"/>
  <c r="U32" i="11"/>
  <c r="P32" i="11"/>
  <c r="AA38" i="11"/>
  <c r="AD38" i="11" s="1"/>
  <c r="AG38" i="11" s="1"/>
  <c r="V104" i="12"/>
  <c r="AH117" i="12"/>
  <c r="AI117" i="12" s="1"/>
  <c r="AJ56" i="12"/>
  <c r="AL56" i="12"/>
  <c r="AK56" i="12"/>
  <c r="H127" i="12"/>
  <c r="J127" i="12" s="1"/>
  <c r="N127" i="12" s="1"/>
  <c r="O127" i="12" s="1"/>
  <c r="P127" i="12" s="1"/>
  <c r="J126" i="12"/>
  <c r="N126" i="12" s="1"/>
  <c r="O126" i="12" s="1"/>
  <c r="P40" i="11"/>
  <c r="Q40" i="11" s="1"/>
  <c r="R40" i="11" s="1"/>
  <c r="S40" i="11" s="1"/>
  <c r="T40" i="11" s="1"/>
  <c r="AJ67" i="12"/>
  <c r="AL67" i="12"/>
  <c r="AK67" i="12"/>
  <c r="O41" i="11"/>
  <c r="AJ76" i="12"/>
  <c r="AM76" i="12" s="1"/>
  <c r="AO76" i="12" s="1"/>
  <c r="AP73" i="12" s="1"/>
  <c r="AL76" i="12"/>
  <c r="AB23" i="11"/>
  <c r="AE23" i="11" s="1"/>
  <c r="Y23" i="11"/>
  <c r="Z23" i="11" s="1"/>
  <c r="AC23" i="11" s="1"/>
  <c r="AF23" i="11" s="1"/>
  <c r="H132" i="12"/>
  <c r="J132" i="12" s="1"/>
  <c r="J131" i="12"/>
  <c r="AB28" i="12"/>
  <c r="AE28" i="12" s="1"/>
  <c r="Y28" i="12"/>
  <c r="Z28" i="12" s="1"/>
  <c r="AC28" i="12" s="1"/>
  <c r="AF28" i="12" s="1"/>
  <c r="S23" i="2"/>
  <c r="T23" i="2" s="1"/>
  <c r="O37" i="12"/>
  <c r="AK37" i="12"/>
  <c r="Q35" i="10"/>
  <c r="R35" i="10" s="1"/>
  <c r="S35" i="10" s="1"/>
  <c r="T35" i="10" s="1"/>
  <c r="U116" i="12"/>
  <c r="AA116" i="12" s="1"/>
  <c r="AD116" i="12" s="1"/>
  <c r="AG116" i="12" s="1"/>
  <c r="W29" i="12"/>
  <c r="X29" i="12"/>
  <c r="AJ49" i="12"/>
  <c r="AJ51" i="11"/>
  <c r="AL51" i="11"/>
  <c r="AK51" i="11"/>
  <c r="Z26" i="10"/>
  <c r="V26" i="10"/>
  <c r="AB26" i="10"/>
  <c r="AE26" i="10" s="1"/>
  <c r="X26" i="10"/>
  <c r="AC26" i="10"/>
  <c r="AF26" i="10" s="1"/>
  <c r="AA26" i="10"/>
  <c r="W26" i="10"/>
  <c r="AD26" i="10"/>
  <c r="AG26" i="10" s="1"/>
  <c r="Y26" i="10"/>
  <c r="AJ24" i="12"/>
  <c r="AM24" i="12" s="1"/>
  <c r="AO24" i="12" s="1"/>
  <c r="AL24" i="12"/>
  <c r="P46" i="10"/>
  <c r="AA34" i="12"/>
  <c r="AD34" i="12" s="1"/>
  <c r="AG34" i="12" s="1"/>
  <c r="V102" i="11"/>
  <c r="AA100" i="12"/>
  <c r="AD100" i="12" s="1"/>
  <c r="AG100" i="12" s="1"/>
  <c r="AA123" i="12"/>
  <c r="AD123" i="12" s="1"/>
  <c r="AG123" i="12" s="1"/>
  <c r="AM195" i="11"/>
  <c r="AO195" i="11" s="1"/>
  <c r="U24" i="2"/>
  <c r="V24" i="2" s="1"/>
  <c r="W24" i="2" s="1"/>
  <c r="AK91" i="10"/>
  <c r="AL91" i="10"/>
  <c r="AJ91" i="10"/>
  <c r="AK200" i="11"/>
  <c r="AK112" i="12"/>
  <c r="AM112" i="12" s="1"/>
  <c r="V101" i="10"/>
  <c r="AJ70" i="10"/>
  <c r="AL200" i="11"/>
  <c r="AL97" i="10"/>
  <c r="AJ97" i="10"/>
  <c r="AK97" i="10"/>
  <c r="Q104" i="10"/>
  <c r="R104" i="10" s="1"/>
  <c r="S104" i="10" s="1"/>
  <c r="T104" i="10" s="1"/>
  <c r="W100" i="10"/>
  <c r="X100" i="10"/>
  <c r="AM98" i="10"/>
  <c r="AK70" i="10"/>
  <c r="R128" i="12"/>
  <c r="S128" i="12" s="1"/>
  <c r="T128" i="12" s="1"/>
  <c r="K132" i="12"/>
  <c r="L131" i="12"/>
  <c r="M131" i="12" s="1"/>
  <c r="O130" i="12"/>
  <c r="P129" i="12"/>
  <c r="AM189" i="11"/>
  <c r="AO189" i="11" s="1"/>
  <c r="AP186" i="11" s="1"/>
  <c r="AH98" i="11"/>
  <c r="AI98" i="11" s="1"/>
  <c r="AJ98" i="11" s="1"/>
  <c r="V100" i="11"/>
  <c r="W100" i="11" s="1"/>
  <c r="AB100" i="11" s="1"/>
  <c r="AE100" i="11" s="1"/>
  <c r="AM85" i="11"/>
  <c r="AK86" i="11"/>
  <c r="AL86" i="11"/>
  <c r="AJ86" i="11"/>
  <c r="AM86" i="11" s="1"/>
  <c r="AH91" i="11"/>
  <c r="AI91" i="11" s="1"/>
  <c r="AH96" i="11"/>
  <c r="AI96" i="11" s="1"/>
  <c r="AL96" i="11" s="1"/>
  <c r="Y97" i="11"/>
  <c r="Z97" i="11" s="1"/>
  <c r="AC97" i="11" s="1"/>
  <c r="AF97" i="11" s="1"/>
  <c r="AB97" i="11"/>
  <c r="AE97" i="11" s="1"/>
  <c r="AM92" i="11"/>
  <c r="U101" i="11"/>
  <c r="V101" i="11" s="1"/>
  <c r="X101" i="11" s="1"/>
  <c r="AH87" i="11"/>
  <c r="AI87" i="11" s="1"/>
  <c r="O104" i="11"/>
  <c r="AM199" i="11"/>
  <c r="AO199" i="11" s="1"/>
  <c r="AM194" i="11"/>
  <c r="AO194" i="11" s="1"/>
  <c r="AH95" i="11"/>
  <c r="AI95" i="11" s="1"/>
  <c r="X99" i="11"/>
  <c r="W99" i="11"/>
  <c r="L105" i="11"/>
  <c r="M105" i="11" s="1"/>
  <c r="N105" i="11" s="1"/>
  <c r="K106" i="11"/>
  <c r="P103" i="11"/>
  <c r="AM71" i="11"/>
  <c r="AJ90" i="10"/>
  <c r="AL90" i="10"/>
  <c r="AM89" i="10"/>
  <c r="O78" i="2"/>
  <c r="P78" i="2" s="1"/>
  <c r="Q78" i="2" s="1"/>
  <c r="AL160" i="2"/>
  <c r="AJ160" i="2"/>
  <c r="AM160" i="2" s="1"/>
  <c r="AO160" i="2" s="1"/>
  <c r="AB49" i="2"/>
  <c r="AE49" i="2" s="1"/>
  <c r="Y49" i="2"/>
  <c r="AC49" i="2"/>
  <c r="AF49" i="2" s="1"/>
  <c r="V49" i="2"/>
  <c r="AA49" i="2"/>
  <c r="X49" i="2"/>
  <c r="Z49" i="2"/>
  <c r="W49" i="2"/>
  <c r="AD49" i="2"/>
  <c r="AG49" i="2" s="1"/>
  <c r="U181" i="2"/>
  <c r="AA181" i="2" s="1"/>
  <c r="AD181" i="2" s="1"/>
  <c r="AG181" i="2" s="1"/>
  <c r="AA156" i="2"/>
  <c r="AD156" i="2" s="1"/>
  <c r="AG156" i="2" s="1"/>
  <c r="AJ190" i="2"/>
  <c r="AM190" i="2" s="1"/>
  <c r="AL190" i="2"/>
  <c r="O54" i="2"/>
  <c r="P54" i="2" s="1"/>
  <c r="Q54" i="2" s="1"/>
  <c r="V156" i="2"/>
  <c r="AH95" i="10"/>
  <c r="AI95" i="10" s="1"/>
  <c r="AL95" i="10" s="1"/>
  <c r="AB96" i="10"/>
  <c r="AE96" i="10" s="1"/>
  <c r="Y96" i="10"/>
  <c r="Z96" i="10" s="1"/>
  <c r="AC96" i="10" s="1"/>
  <c r="AF96" i="10" s="1"/>
  <c r="AP171" i="10"/>
  <c r="AN195" i="10" s="1"/>
  <c r="AO195" i="10" s="1"/>
  <c r="AH71" i="10"/>
  <c r="AI71" i="10" s="1"/>
  <c r="AK71" i="10" s="1"/>
  <c r="AL66" i="10"/>
  <c r="AJ66" i="10"/>
  <c r="AK66" i="10"/>
  <c r="AJ72" i="10"/>
  <c r="AL72" i="10"/>
  <c r="AK72" i="10"/>
  <c r="P103" i="10"/>
  <c r="Q103" i="10" s="1"/>
  <c r="AM198" i="10"/>
  <c r="AO198" i="10" s="1"/>
  <c r="AL71" i="10"/>
  <c r="AL169" i="10"/>
  <c r="AJ169" i="10"/>
  <c r="AK169" i="10"/>
  <c r="K106" i="10"/>
  <c r="L105" i="10"/>
  <c r="M105" i="10" s="1"/>
  <c r="N105" i="10" s="1"/>
  <c r="Q28" i="2"/>
  <c r="R28" i="2" s="1"/>
  <c r="S28" i="2" s="1"/>
  <c r="T28" i="2" s="1"/>
  <c r="S157" i="2"/>
  <c r="T157" i="2" s="1"/>
  <c r="L161" i="2"/>
  <c r="M161" i="2" s="1"/>
  <c r="N161" i="2" s="1"/>
  <c r="K166" i="2"/>
  <c r="K162" i="2"/>
  <c r="O170" i="2"/>
  <c r="U170" i="2" s="1"/>
  <c r="R53" i="2"/>
  <c r="S53" i="2" s="1"/>
  <c r="T53" i="2" s="1"/>
  <c r="P55" i="2"/>
  <c r="Q55" i="2" s="1"/>
  <c r="P50" i="2"/>
  <c r="Q50" i="2"/>
  <c r="O27" i="2"/>
  <c r="U27" i="2" s="1"/>
  <c r="H44" i="2"/>
  <c r="H45" i="2" s="1"/>
  <c r="H46" i="2" s="1"/>
  <c r="H47" i="2" s="1"/>
  <c r="F57" i="2"/>
  <c r="J57" i="2" s="1"/>
  <c r="N57" i="2" s="1"/>
  <c r="AK57" i="2" s="1"/>
  <c r="F72" i="2"/>
  <c r="J72" i="2" s="1"/>
  <c r="F62" i="2"/>
  <c r="J62" i="2" s="1"/>
  <c r="N62" i="2" s="1"/>
  <c r="AK62" i="2" s="1"/>
  <c r="F67" i="2"/>
  <c r="J67" i="2" s="1"/>
  <c r="N67" i="2" s="1"/>
  <c r="AK67" i="2" s="1"/>
  <c r="F52" i="2"/>
  <c r="J52" i="2" s="1"/>
  <c r="N52" i="2" s="1"/>
  <c r="AK52" i="2" s="1"/>
  <c r="O56" i="2"/>
  <c r="U56" i="2" s="1"/>
  <c r="K56" i="2"/>
  <c r="L55" i="2"/>
  <c r="M55" i="2" s="1"/>
  <c r="Q25" i="2"/>
  <c r="P25" i="2"/>
  <c r="K80" i="2"/>
  <c r="L79" i="2"/>
  <c r="M79" i="2" s="1"/>
  <c r="K186" i="2"/>
  <c r="L185" i="2"/>
  <c r="M185" i="2" s="1"/>
  <c r="I99" i="2"/>
  <c r="J98" i="2"/>
  <c r="N98" i="2" s="1"/>
  <c r="O26" i="2"/>
  <c r="U26" i="2" s="1"/>
  <c r="I175" i="2"/>
  <c r="J175" i="2" s="1"/>
  <c r="J174" i="2"/>
  <c r="O51" i="2"/>
  <c r="U51" i="2" s="1"/>
  <c r="O61" i="2"/>
  <c r="U61" i="2" s="1"/>
  <c r="P165" i="2"/>
  <c r="Q165" i="2"/>
  <c r="O30" i="2"/>
  <c r="I32" i="2"/>
  <c r="J31" i="2"/>
  <c r="N31" i="2" s="1"/>
  <c r="AK31" i="2" s="1"/>
  <c r="K35" i="2"/>
  <c r="L34" i="2"/>
  <c r="M34" i="2" s="1"/>
  <c r="P29" i="2"/>
  <c r="K39" i="2"/>
  <c r="K43" i="2"/>
  <c r="L38" i="2"/>
  <c r="M38" i="2" s="1"/>
  <c r="O79" i="2"/>
  <c r="U79" i="2" s="1"/>
  <c r="O77" i="2"/>
  <c r="U77" i="2" s="1"/>
  <c r="AN196" i="2"/>
  <c r="AN176" i="2"/>
  <c r="AO176" i="2" s="1"/>
  <c r="AN181" i="2"/>
  <c r="AN191" i="2"/>
  <c r="AN186" i="2"/>
  <c r="J82" i="2"/>
  <c r="N82" i="2" s="1"/>
  <c r="AK82" i="2" s="1"/>
  <c r="AL113" i="12" l="1"/>
  <c r="AK83" i="12"/>
  <c r="AH87" i="12"/>
  <c r="AI87" i="12" s="1"/>
  <c r="AL83" i="12"/>
  <c r="AM83" i="12" s="1"/>
  <c r="V124" i="12"/>
  <c r="AL49" i="12"/>
  <c r="AM93" i="12"/>
  <c r="AL98" i="11"/>
  <c r="AM91" i="10"/>
  <c r="X35" i="12"/>
  <c r="AH26" i="11"/>
  <c r="AI26" i="11" s="1"/>
  <c r="Y43" i="10"/>
  <c r="Z43" i="10" s="1"/>
  <c r="AC43" i="10" s="1"/>
  <c r="AF43" i="10" s="1"/>
  <c r="AB43" i="10"/>
  <c r="AE43" i="10" s="1"/>
  <c r="AM98" i="12"/>
  <c r="AK88" i="11"/>
  <c r="AH35" i="11"/>
  <c r="AI35" i="11" s="1"/>
  <c r="AJ35" i="11" s="1"/>
  <c r="AM35" i="11" s="1"/>
  <c r="AO35" i="11" s="1"/>
  <c r="AA122" i="12"/>
  <c r="AD122" i="12" s="1"/>
  <c r="AG122" i="12" s="1"/>
  <c r="AB38" i="12"/>
  <c r="AE38" i="12" s="1"/>
  <c r="Y38" i="12"/>
  <c r="Z38" i="12" s="1"/>
  <c r="AC38" i="12" s="1"/>
  <c r="AF38" i="12" s="1"/>
  <c r="AH38" i="12" s="1"/>
  <c r="AI38" i="12" s="1"/>
  <c r="AK38" i="12" s="1"/>
  <c r="V181" i="2"/>
  <c r="W181" i="2" s="1"/>
  <c r="AB181" i="2" s="1"/>
  <c r="AE181" i="2" s="1"/>
  <c r="AP191" i="11"/>
  <c r="N131" i="12"/>
  <c r="AH26" i="10"/>
  <c r="AI26" i="10" s="1"/>
  <c r="AM90" i="12"/>
  <c r="S74" i="2"/>
  <c r="T74" i="2" s="1"/>
  <c r="AC74" i="2" s="1"/>
  <c r="AF74" i="2" s="1"/>
  <c r="AM90" i="10"/>
  <c r="AM200" i="11"/>
  <c r="AO200" i="11" s="1"/>
  <c r="AH23" i="11"/>
  <c r="AI23" i="11" s="1"/>
  <c r="AL23" i="11" s="1"/>
  <c r="AH28" i="11"/>
  <c r="AI28" i="11" s="1"/>
  <c r="AL28" i="11" s="1"/>
  <c r="AH66" i="12"/>
  <c r="AI66" i="12" s="1"/>
  <c r="AH36" i="11"/>
  <c r="AI36" i="11" s="1"/>
  <c r="AH38" i="10"/>
  <c r="AI38" i="10" s="1"/>
  <c r="U101" i="12"/>
  <c r="U45" i="10"/>
  <c r="Y44" i="12"/>
  <c r="AB44" i="12"/>
  <c r="AE44" i="12" s="1"/>
  <c r="U107" i="12"/>
  <c r="V107" i="12" s="1"/>
  <c r="AA35" i="10"/>
  <c r="AD35" i="10" s="1"/>
  <c r="AG35" i="10" s="1"/>
  <c r="U35" i="10"/>
  <c r="AL38" i="12"/>
  <c r="AA40" i="11"/>
  <c r="AD40" i="11" s="1"/>
  <c r="AG40" i="11" s="1"/>
  <c r="U40" i="11"/>
  <c r="U46" i="11"/>
  <c r="AJ33" i="10"/>
  <c r="AL33" i="10"/>
  <c r="AK33" i="10"/>
  <c r="Z31" i="12"/>
  <c r="AB31" i="12"/>
  <c r="AE31" i="12" s="1"/>
  <c r="Y31" i="12"/>
  <c r="X31" i="12"/>
  <c r="AC31" i="12"/>
  <c r="AF31" i="12" s="1"/>
  <c r="AA31" i="12"/>
  <c r="W31" i="12"/>
  <c r="V31" i="12"/>
  <c r="AD31" i="12"/>
  <c r="AG31" i="12" s="1"/>
  <c r="P47" i="11"/>
  <c r="AK28" i="11"/>
  <c r="U45" i="11"/>
  <c r="V45" i="11" s="1"/>
  <c r="W45" i="11" s="1"/>
  <c r="AL96" i="12"/>
  <c r="AJ96" i="12"/>
  <c r="AK96" i="12"/>
  <c r="V40" i="12"/>
  <c r="W40" i="12" s="1"/>
  <c r="Y40" i="12" s="1"/>
  <c r="AA40" i="12"/>
  <c r="AD40" i="12" s="1"/>
  <c r="AG40" i="12" s="1"/>
  <c r="AB28" i="10"/>
  <c r="AE28" i="10" s="1"/>
  <c r="Y28" i="10"/>
  <c r="Z28" i="10" s="1"/>
  <c r="AC28" i="10" s="1"/>
  <c r="AF28" i="10" s="1"/>
  <c r="V121" i="12"/>
  <c r="V44" i="10"/>
  <c r="AH30" i="12"/>
  <c r="AI30" i="12" s="1"/>
  <c r="AM88" i="11"/>
  <c r="AA45" i="12"/>
  <c r="AD45" i="12" s="1"/>
  <c r="AG45" i="12" s="1"/>
  <c r="V45" i="12"/>
  <c r="X45" i="12" s="1"/>
  <c r="AB114" i="12"/>
  <c r="AE114" i="12" s="1"/>
  <c r="Y114" i="12"/>
  <c r="Z114" i="12" s="1"/>
  <c r="AC114" i="12" s="1"/>
  <c r="AF114" i="12" s="1"/>
  <c r="X29" i="10"/>
  <c r="W29" i="10"/>
  <c r="AJ26" i="11"/>
  <c r="AM26" i="11" s="1"/>
  <c r="AO26" i="11" s="1"/>
  <c r="AL26" i="11"/>
  <c r="X34" i="11"/>
  <c r="W34" i="11"/>
  <c r="U102" i="12"/>
  <c r="V102" i="12" s="1"/>
  <c r="X102" i="12" s="1"/>
  <c r="AJ36" i="11"/>
  <c r="AM36" i="11" s="1"/>
  <c r="AO36" i="11" s="1"/>
  <c r="AL36" i="11"/>
  <c r="AB34" i="12"/>
  <c r="AE34" i="12" s="1"/>
  <c r="Y34" i="12"/>
  <c r="Z34" i="12" s="1"/>
  <c r="AC34" i="12" s="1"/>
  <c r="AF34" i="12" s="1"/>
  <c r="AJ26" i="10"/>
  <c r="AM26" i="10" s="1"/>
  <c r="AO26" i="10" s="1"/>
  <c r="AL26" i="10"/>
  <c r="AN103" i="12"/>
  <c r="AN108" i="12"/>
  <c r="AO108" i="12" s="1"/>
  <c r="AN118" i="12"/>
  <c r="AN98" i="12"/>
  <c r="AO98" i="12" s="1"/>
  <c r="AN113" i="12"/>
  <c r="W104" i="12"/>
  <c r="X104" i="12"/>
  <c r="X31" i="11"/>
  <c r="AA31" i="11"/>
  <c r="AD31" i="11" s="1"/>
  <c r="AG31" i="11" s="1"/>
  <c r="W31" i="11"/>
  <c r="Y31" i="11"/>
  <c r="Z31" i="11" s="1"/>
  <c r="AC31" i="11" s="1"/>
  <c r="AF31" i="11" s="1"/>
  <c r="AB31" i="11"/>
  <c r="AE31" i="11" s="1"/>
  <c r="O42" i="10"/>
  <c r="Y27" i="10"/>
  <c r="AC27" i="10"/>
  <c r="AF27" i="10" s="1"/>
  <c r="AA27" i="10"/>
  <c r="W27" i="10"/>
  <c r="V27" i="10"/>
  <c r="AB27" i="10"/>
  <c r="AE27" i="10" s="1"/>
  <c r="AD27" i="10"/>
  <c r="AG27" i="10" s="1"/>
  <c r="Z27" i="10"/>
  <c r="X27" i="10"/>
  <c r="X39" i="10"/>
  <c r="W39" i="10"/>
  <c r="AL66" i="12"/>
  <c r="AJ66" i="12"/>
  <c r="AK66" i="12"/>
  <c r="AL87" i="12"/>
  <c r="AJ87" i="12"/>
  <c r="AM87" i="12" s="1"/>
  <c r="AO87" i="12" s="1"/>
  <c r="AK87" i="12"/>
  <c r="U106" i="12"/>
  <c r="AJ23" i="10"/>
  <c r="AL23" i="10"/>
  <c r="AK23" i="10"/>
  <c r="AL30" i="11"/>
  <c r="AJ30" i="11"/>
  <c r="AM30" i="11" s="1"/>
  <c r="AO30" i="11" s="1"/>
  <c r="AJ23" i="11"/>
  <c r="AM23" i="11" s="1"/>
  <c r="AO23" i="11" s="1"/>
  <c r="P126" i="12"/>
  <c r="AA41" i="10"/>
  <c r="AD41" i="10" s="1"/>
  <c r="AG41" i="10" s="1"/>
  <c r="O47" i="10"/>
  <c r="X38" i="11"/>
  <c r="W38" i="11"/>
  <c r="Q36" i="10"/>
  <c r="R36" i="10" s="1"/>
  <c r="S36" i="10" s="1"/>
  <c r="T36" i="10" s="1"/>
  <c r="R164" i="2"/>
  <c r="Y29" i="12"/>
  <c r="Z29" i="12" s="1"/>
  <c r="AC29" i="12" s="1"/>
  <c r="AF29" i="12" s="1"/>
  <c r="AB29" i="12"/>
  <c r="AE29" i="12" s="1"/>
  <c r="U37" i="12"/>
  <c r="P37" i="12"/>
  <c r="Q37" i="12"/>
  <c r="AH28" i="12"/>
  <c r="AI28" i="12" s="1"/>
  <c r="P41" i="11"/>
  <c r="Q127" i="12"/>
  <c r="R127" i="12"/>
  <c r="S127" i="12" s="1"/>
  <c r="T127" i="12" s="1"/>
  <c r="U127" i="12" s="1"/>
  <c r="AA127" i="12" s="1"/>
  <c r="AD127" i="12" s="1"/>
  <c r="AG127" i="12" s="1"/>
  <c r="AL117" i="12"/>
  <c r="AJ117" i="12"/>
  <c r="AK117" i="12"/>
  <c r="R32" i="11"/>
  <c r="S32" i="11"/>
  <c r="T32" i="11" s="1"/>
  <c r="AB123" i="12"/>
  <c r="AE123" i="12" s="1"/>
  <c r="Y123" i="12"/>
  <c r="Z123" i="12" s="1"/>
  <c r="AC123" i="12" s="1"/>
  <c r="AF123" i="12" s="1"/>
  <c r="Z27" i="12"/>
  <c r="X27" i="12"/>
  <c r="Y27" i="12"/>
  <c r="V27" i="12"/>
  <c r="AB27" i="12"/>
  <c r="AE27" i="12" s="1"/>
  <c r="AC27" i="12"/>
  <c r="AF27" i="12" s="1"/>
  <c r="AA27" i="12"/>
  <c r="W27" i="12"/>
  <c r="AD27" i="12"/>
  <c r="AG27" i="12" s="1"/>
  <c r="Q125" i="12"/>
  <c r="R125" i="12" s="1"/>
  <c r="S125" i="12" s="1"/>
  <c r="T125" i="12" s="1"/>
  <c r="Y115" i="12"/>
  <c r="Z115" i="12" s="1"/>
  <c r="AC115" i="12" s="1"/>
  <c r="AF115" i="12" s="1"/>
  <c r="AB115" i="12"/>
  <c r="AE115" i="12" s="1"/>
  <c r="AB105" i="12"/>
  <c r="AE105" i="12" s="1"/>
  <c r="Y105" i="12"/>
  <c r="Z105" i="12" s="1"/>
  <c r="AC105" i="12" s="1"/>
  <c r="AF105" i="12" s="1"/>
  <c r="AH52" i="12"/>
  <c r="AI52" i="12" s="1"/>
  <c r="X44" i="12"/>
  <c r="Y35" i="12"/>
  <c r="Z35" i="12" s="1"/>
  <c r="AC35" i="12" s="1"/>
  <c r="AF35" i="12" s="1"/>
  <c r="AH35" i="12" s="1"/>
  <c r="AI35" i="12" s="1"/>
  <c r="P46" i="12"/>
  <c r="Q46" i="12" s="1"/>
  <c r="R46" i="12" s="1"/>
  <c r="S46" i="12" s="1"/>
  <c r="T46" i="12" s="1"/>
  <c r="AH71" i="12"/>
  <c r="AI71" i="12" s="1"/>
  <c r="W34" i="10"/>
  <c r="X34" i="10"/>
  <c r="AH26" i="12"/>
  <c r="AI26" i="12" s="1"/>
  <c r="O42" i="12"/>
  <c r="AK42" i="12"/>
  <c r="AL103" i="12"/>
  <c r="AJ103" i="12"/>
  <c r="AK103" i="12"/>
  <c r="AL72" i="12"/>
  <c r="AJ72" i="12"/>
  <c r="AK72" i="12"/>
  <c r="AH43" i="12"/>
  <c r="AI43" i="12" s="1"/>
  <c r="V31" i="10"/>
  <c r="V30" i="10"/>
  <c r="AA30" i="10"/>
  <c r="AD30" i="10" s="1"/>
  <c r="AG30" i="10" s="1"/>
  <c r="W122" i="12"/>
  <c r="V41" i="10"/>
  <c r="W41" i="10" s="1"/>
  <c r="AL109" i="12"/>
  <c r="AJ109" i="12"/>
  <c r="AK109" i="12"/>
  <c r="R32" i="10"/>
  <c r="S32" i="10"/>
  <c r="T32" i="10" s="1"/>
  <c r="U39" i="11"/>
  <c r="U40" i="10"/>
  <c r="V40" i="10" s="1"/>
  <c r="Y43" i="11"/>
  <c r="Z43" i="11" s="1"/>
  <c r="AC43" i="11" s="1"/>
  <c r="AF43" i="11" s="1"/>
  <c r="AB43" i="11"/>
  <c r="AE43" i="11" s="1"/>
  <c r="AM51" i="11"/>
  <c r="V116" i="12"/>
  <c r="AM67" i="12"/>
  <c r="AM56" i="12"/>
  <c r="AB39" i="12"/>
  <c r="AE39" i="12" s="1"/>
  <c r="Y39" i="12"/>
  <c r="Z39" i="12" s="1"/>
  <c r="AC39" i="12" s="1"/>
  <c r="AF39" i="12" s="1"/>
  <c r="R36" i="12"/>
  <c r="S36" i="12"/>
  <c r="T36" i="12" s="1"/>
  <c r="AJ44" i="11"/>
  <c r="AL44" i="11"/>
  <c r="AK44" i="11"/>
  <c r="U23" i="2"/>
  <c r="AA23" i="2" s="1"/>
  <c r="AD23" i="2" s="1"/>
  <c r="X102" i="11"/>
  <c r="W102" i="11"/>
  <c r="Q46" i="10"/>
  <c r="R46" i="10" s="1"/>
  <c r="S46" i="10" s="1"/>
  <c r="T46" i="10" s="1"/>
  <c r="AM49" i="12"/>
  <c r="AJ88" i="12"/>
  <c r="AL88" i="12"/>
  <c r="AK88" i="12"/>
  <c r="AJ33" i="11"/>
  <c r="AL33" i="11"/>
  <c r="AK33" i="11"/>
  <c r="AM89" i="12"/>
  <c r="AJ74" i="11"/>
  <c r="AM74" i="11" s="1"/>
  <c r="AL74" i="11"/>
  <c r="AK74" i="11"/>
  <c r="P37" i="11"/>
  <c r="Q37" i="11"/>
  <c r="U37" i="11"/>
  <c r="AH118" i="12"/>
  <c r="AI118" i="12" s="1"/>
  <c r="AM78" i="12"/>
  <c r="AB119" i="12"/>
  <c r="AE119" i="12" s="1"/>
  <c r="Y119" i="12"/>
  <c r="Z119" i="12" s="1"/>
  <c r="AC119" i="12" s="1"/>
  <c r="AF119" i="12" s="1"/>
  <c r="O42" i="11"/>
  <c r="AK42" i="11"/>
  <c r="AA121" i="12"/>
  <c r="AD121" i="12" s="1"/>
  <c r="AG121" i="12" s="1"/>
  <c r="P37" i="10"/>
  <c r="Q37" i="10" s="1"/>
  <c r="R37" i="10" s="1"/>
  <c r="S37" i="10" s="1"/>
  <c r="T37" i="10" s="1"/>
  <c r="AM54" i="12"/>
  <c r="AM113" i="12"/>
  <c r="X33" i="12"/>
  <c r="W33" i="12"/>
  <c r="R32" i="12"/>
  <c r="S32" i="12"/>
  <c r="T32" i="12" s="1"/>
  <c r="AJ25" i="12"/>
  <c r="AM25" i="12" s="1"/>
  <c r="AO25" i="12" s="1"/>
  <c r="AL25" i="12"/>
  <c r="O47" i="12"/>
  <c r="AA27" i="11"/>
  <c r="V27" i="11"/>
  <c r="X27" i="11"/>
  <c r="W27" i="11"/>
  <c r="AB27" i="11"/>
  <c r="AE27" i="11" s="1"/>
  <c r="AD27" i="11"/>
  <c r="AG27" i="11" s="1"/>
  <c r="AC27" i="11"/>
  <c r="AF27" i="11" s="1"/>
  <c r="Z27" i="11"/>
  <c r="Y27" i="11"/>
  <c r="P41" i="12"/>
  <c r="Y120" i="12"/>
  <c r="Z120" i="12" s="1"/>
  <c r="AC120" i="12" s="1"/>
  <c r="AF120" i="12" s="1"/>
  <c r="AB120" i="12"/>
  <c r="AE120" i="12" s="1"/>
  <c r="Y100" i="12"/>
  <c r="Z100" i="12" s="1"/>
  <c r="AC100" i="12" s="1"/>
  <c r="AF100" i="12" s="1"/>
  <c r="AB100" i="12"/>
  <c r="AE100" i="12" s="1"/>
  <c r="AK96" i="11"/>
  <c r="Y24" i="2"/>
  <c r="AB24" i="2"/>
  <c r="X24" i="2"/>
  <c r="AA24" i="2"/>
  <c r="AD24" i="2" s="1"/>
  <c r="AG24" i="2" s="1"/>
  <c r="AM70" i="10"/>
  <c r="U104" i="10"/>
  <c r="AA104" i="10" s="1"/>
  <c r="AD104" i="10" s="1"/>
  <c r="AG104" i="10" s="1"/>
  <c r="Y100" i="10"/>
  <c r="Z100" i="10" s="1"/>
  <c r="AC100" i="10" s="1"/>
  <c r="AF100" i="10" s="1"/>
  <c r="AB100" i="10"/>
  <c r="AE100" i="10" s="1"/>
  <c r="AM97" i="10"/>
  <c r="X101" i="10"/>
  <c r="W101" i="10"/>
  <c r="O105" i="10"/>
  <c r="P105" i="10" s="1"/>
  <c r="AK98" i="11"/>
  <c r="AP196" i="11"/>
  <c r="K133" i="12"/>
  <c r="L132" i="12"/>
  <c r="M132" i="12" s="1"/>
  <c r="N132" i="12" s="1"/>
  <c r="U128" i="12"/>
  <c r="AA128" i="12" s="1"/>
  <c r="AD128" i="12" s="1"/>
  <c r="AG128" i="12" s="1"/>
  <c r="P130" i="12"/>
  <c r="Q130" i="12" s="1"/>
  <c r="Q129" i="12"/>
  <c r="R129" i="12" s="1"/>
  <c r="S129" i="12" s="1"/>
  <c r="T129" i="12" s="1"/>
  <c r="O131" i="12"/>
  <c r="Y100" i="11"/>
  <c r="X100" i="11"/>
  <c r="AA101" i="11"/>
  <c r="AD101" i="11" s="1"/>
  <c r="AG101" i="11" s="1"/>
  <c r="AJ96" i="11"/>
  <c r="AK91" i="11"/>
  <c r="AL91" i="11"/>
  <c r="AJ91" i="11"/>
  <c r="AM91" i="11" s="1"/>
  <c r="O105" i="11"/>
  <c r="W101" i="11"/>
  <c r="P104" i="11"/>
  <c r="AL87" i="11"/>
  <c r="AJ87" i="11"/>
  <c r="AK87" i="11"/>
  <c r="K107" i="11"/>
  <c r="L106" i="11"/>
  <c r="M106" i="11" s="1"/>
  <c r="N106" i="11" s="1"/>
  <c r="Q103" i="11"/>
  <c r="R103" i="11" s="1"/>
  <c r="S103" i="11" s="1"/>
  <c r="T103" i="11" s="1"/>
  <c r="AB99" i="11"/>
  <c r="AE99" i="11" s="1"/>
  <c r="Y99" i="11"/>
  <c r="Z99" i="11" s="1"/>
  <c r="AC99" i="11" s="1"/>
  <c r="AF99" i="11" s="1"/>
  <c r="AJ95" i="11"/>
  <c r="AL95" i="11"/>
  <c r="AK95" i="11"/>
  <c r="AH97" i="11"/>
  <c r="AI97" i="11" s="1"/>
  <c r="AN190" i="10"/>
  <c r="AN200" i="10"/>
  <c r="AO200" i="10" s="1"/>
  <c r="AN180" i="10"/>
  <c r="AH96" i="10"/>
  <c r="AI96" i="10" s="1"/>
  <c r="AJ96" i="10" s="1"/>
  <c r="AJ71" i="10"/>
  <c r="AM71" i="10" s="1"/>
  <c r="AK95" i="10"/>
  <c r="AJ95" i="10"/>
  <c r="AM72" i="10"/>
  <c r="AM66" i="10"/>
  <c r="AN185" i="10"/>
  <c r="W74" i="2"/>
  <c r="Y74" i="2"/>
  <c r="O98" i="2"/>
  <c r="U98" i="2" s="1"/>
  <c r="AK98" i="2"/>
  <c r="W164" i="2"/>
  <c r="AB164" i="2"/>
  <c r="AE164" i="2" s="1"/>
  <c r="X164" i="2"/>
  <c r="AC164" i="2"/>
  <c r="AF164" i="2" s="1"/>
  <c r="AD164" i="2"/>
  <c r="AG164" i="2" s="1"/>
  <c r="Y164" i="2"/>
  <c r="Z164" i="2"/>
  <c r="AA164" i="2"/>
  <c r="V164" i="2"/>
  <c r="X181" i="2"/>
  <c r="AH49" i="2"/>
  <c r="AI49" i="2" s="1"/>
  <c r="X156" i="2"/>
  <c r="W156" i="2"/>
  <c r="U157" i="2"/>
  <c r="V157" i="2" s="1"/>
  <c r="W157" i="2" s="1"/>
  <c r="Y157" i="2" s="1"/>
  <c r="U28" i="2"/>
  <c r="V28" i="2" s="1"/>
  <c r="U53" i="2"/>
  <c r="K107" i="10"/>
  <c r="L106" i="10"/>
  <c r="M106" i="10" s="1"/>
  <c r="N106" i="10" s="1"/>
  <c r="R103" i="10"/>
  <c r="S103" i="10" s="1"/>
  <c r="T103" i="10" s="1"/>
  <c r="AM169" i="10"/>
  <c r="AO169" i="10" s="1"/>
  <c r="AP166" i="10" s="1"/>
  <c r="V23" i="2"/>
  <c r="P77" i="2"/>
  <c r="S165" i="2"/>
  <c r="T165" i="2" s="1"/>
  <c r="S25" i="2"/>
  <c r="T25" i="2" s="1"/>
  <c r="S50" i="2"/>
  <c r="T50" i="2" s="1"/>
  <c r="AG23" i="2"/>
  <c r="P79" i="2"/>
  <c r="Q29" i="2"/>
  <c r="R29" i="2" s="1"/>
  <c r="S29" i="2" s="1"/>
  <c r="T29" i="2" s="1"/>
  <c r="O62" i="2"/>
  <c r="U62" i="2" s="1"/>
  <c r="R55" i="2"/>
  <c r="S55" i="2" s="1"/>
  <c r="T55" i="2" s="1"/>
  <c r="O161" i="2"/>
  <c r="P26" i="2"/>
  <c r="Q26" i="2"/>
  <c r="L186" i="2"/>
  <c r="M186" i="2" s="1"/>
  <c r="N186" i="2" s="1"/>
  <c r="K187" i="2"/>
  <c r="K191" i="2"/>
  <c r="P56" i="2"/>
  <c r="Q56" i="2"/>
  <c r="R50" i="2"/>
  <c r="P170" i="2"/>
  <c r="Q170" i="2"/>
  <c r="R165" i="2"/>
  <c r="P61" i="2"/>
  <c r="Q61" i="2" s="1"/>
  <c r="P98" i="2"/>
  <c r="O52" i="2"/>
  <c r="U52" i="2" s="1"/>
  <c r="O57" i="2"/>
  <c r="U57" i="2" s="1"/>
  <c r="P27" i="2"/>
  <c r="Q27" i="2"/>
  <c r="R78" i="2"/>
  <c r="K163" i="2"/>
  <c r="L162" i="2"/>
  <c r="M162" i="2" s="1"/>
  <c r="N162" i="2" s="1"/>
  <c r="R54" i="2"/>
  <c r="S54" i="2" s="1"/>
  <c r="T54" i="2" s="1"/>
  <c r="R25" i="2"/>
  <c r="P51" i="2"/>
  <c r="Q51" i="2"/>
  <c r="I100" i="2"/>
  <c r="J99" i="2"/>
  <c r="N99" i="2" s="1"/>
  <c r="AK99" i="2" s="1"/>
  <c r="K81" i="2"/>
  <c r="L80" i="2"/>
  <c r="M80" i="2" s="1"/>
  <c r="K57" i="2"/>
  <c r="L56" i="2"/>
  <c r="M56" i="2" s="1"/>
  <c r="O67" i="2"/>
  <c r="U67" i="2" s="1"/>
  <c r="L166" i="2"/>
  <c r="M166" i="2" s="1"/>
  <c r="N166" i="2" s="1"/>
  <c r="K167" i="2"/>
  <c r="K171" i="2"/>
  <c r="O31" i="2"/>
  <c r="U31" i="2" s="1"/>
  <c r="J32" i="2"/>
  <c r="N32" i="2" s="1"/>
  <c r="AK32" i="2" s="1"/>
  <c r="I33" i="2"/>
  <c r="L43" i="2"/>
  <c r="M43" i="2" s="1"/>
  <c r="K44" i="2"/>
  <c r="K40" i="2"/>
  <c r="L39" i="2"/>
  <c r="M39" i="2" s="1"/>
  <c r="K36" i="2"/>
  <c r="L35" i="2"/>
  <c r="M35" i="2" s="1"/>
  <c r="P30" i="2"/>
  <c r="Q77" i="2"/>
  <c r="Q79" i="2"/>
  <c r="O82" i="2"/>
  <c r="U82" i="2" s="1"/>
  <c r="J87" i="2"/>
  <c r="N87" i="2" s="1"/>
  <c r="AK87" i="2" s="1"/>
  <c r="AK35" i="11" l="1"/>
  <c r="Y181" i="2"/>
  <c r="AK23" i="11"/>
  <c r="AL35" i="11"/>
  <c r="AM98" i="11"/>
  <c r="AH43" i="10"/>
  <c r="AI43" i="10" s="1"/>
  <c r="W124" i="12"/>
  <c r="X124" i="12"/>
  <c r="AK43" i="10"/>
  <c r="AJ43" i="10"/>
  <c r="AL43" i="10"/>
  <c r="AH100" i="12"/>
  <c r="AI100" i="12" s="1"/>
  <c r="AJ100" i="12" s="1"/>
  <c r="AM72" i="12"/>
  <c r="AH123" i="12"/>
  <c r="AI123" i="12" s="1"/>
  <c r="AM117" i="12"/>
  <c r="AH34" i="12"/>
  <c r="AI34" i="12" s="1"/>
  <c r="AJ34" i="12" s="1"/>
  <c r="AM34" i="12" s="1"/>
  <c r="AO34" i="12" s="1"/>
  <c r="AH114" i="12"/>
  <c r="AI114" i="12" s="1"/>
  <c r="AJ38" i="12"/>
  <c r="AH120" i="12"/>
  <c r="AI120" i="12" s="1"/>
  <c r="AH39" i="12"/>
  <c r="AI39" i="12" s="1"/>
  <c r="AL39" i="12" s="1"/>
  <c r="X40" i="10"/>
  <c r="W40" i="10"/>
  <c r="AB40" i="10" s="1"/>
  <c r="AE40" i="10" s="1"/>
  <c r="W107" i="12"/>
  <c r="X107" i="12"/>
  <c r="AH27" i="12"/>
  <c r="AI27" i="12" s="1"/>
  <c r="AB40" i="12"/>
  <c r="AE40" i="12" s="1"/>
  <c r="AB74" i="2"/>
  <c r="AE74" i="2" s="1"/>
  <c r="AA74" i="2"/>
  <c r="AM96" i="11"/>
  <c r="AM66" i="12"/>
  <c r="X40" i="12"/>
  <c r="Z40" i="12" s="1"/>
  <c r="AC40" i="12" s="1"/>
  <c r="AF40" i="12" s="1"/>
  <c r="AM96" i="12"/>
  <c r="AL38" i="10"/>
  <c r="AJ38" i="10"/>
  <c r="AK38" i="10"/>
  <c r="AJ28" i="11"/>
  <c r="AM28" i="11" s="1"/>
  <c r="AO28" i="11" s="1"/>
  <c r="X74" i="2"/>
  <c r="Z74" i="2"/>
  <c r="AD74" i="2"/>
  <c r="AG74" i="2" s="1"/>
  <c r="V74" i="2"/>
  <c r="AH27" i="11"/>
  <c r="AI27" i="11" s="1"/>
  <c r="R37" i="11"/>
  <c r="S37" i="11" s="1"/>
  <c r="T37" i="11" s="1"/>
  <c r="AH29" i="12"/>
  <c r="AI29" i="12" s="1"/>
  <c r="AM23" i="10"/>
  <c r="AO23" i="10" s="1"/>
  <c r="W45" i="12"/>
  <c r="AB45" i="12" s="1"/>
  <c r="AE45" i="12" s="1"/>
  <c r="Y45" i="11"/>
  <c r="AB45" i="11"/>
  <c r="AE45" i="11" s="1"/>
  <c r="Y41" i="10"/>
  <c r="AB41" i="10"/>
  <c r="AE41" i="10" s="1"/>
  <c r="U36" i="10"/>
  <c r="AL35" i="12"/>
  <c r="AJ35" i="12"/>
  <c r="AM35" i="12" s="1"/>
  <c r="AO35" i="12" s="1"/>
  <c r="AK35" i="12"/>
  <c r="Y107" i="12"/>
  <c r="Z107" i="12" s="1"/>
  <c r="AC107" i="12" s="1"/>
  <c r="AF107" i="12" s="1"/>
  <c r="AB107" i="12"/>
  <c r="AE107" i="12" s="1"/>
  <c r="U46" i="12"/>
  <c r="U46" i="10"/>
  <c r="AA46" i="10" s="1"/>
  <c r="AD46" i="10" s="1"/>
  <c r="AG46" i="10" s="1"/>
  <c r="AL27" i="12"/>
  <c r="AJ27" i="12"/>
  <c r="AM27" i="12" s="1"/>
  <c r="AO27" i="12" s="1"/>
  <c r="AJ29" i="12"/>
  <c r="AM29" i="12" s="1"/>
  <c r="AO29" i="12" s="1"/>
  <c r="AL29" i="12"/>
  <c r="AK29" i="12"/>
  <c r="AL114" i="12"/>
  <c r="AJ114" i="12"/>
  <c r="AK114" i="12"/>
  <c r="V45" i="10"/>
  <c r="V127" i="12"/>
  <c r="W127" i="12" s="1"/>
  <c r="Y127" i="12" s="1"/>
  <c r="AD32" i="12"/>
  <c r="AG32" i="12" s="1"/>
  <c r="AA32" i="12"/>
  <c r="X32" i="12"/>
  <c r="Y32" i="12"/>
  <c r="V32" i="12"/>
  <c r="AC32" i="12"/>
  <c r="AF32" i="12" s="1"/>
  <c r="W32" i="12"/>
  <c r="AB32" i="12"/>
  <c r="AE32" i="12" s="1"/>
  <c r="Z32" i="12"/>
  <c r="AO113" i="12"/>
  <c r="AH119" i="12"/>
  <c r="AI119" i="12" s="1"/>
  <c r="V37" i="11"/>
  <c r="AM88" i="12"/>
  <c r="Y102" i="11"/>
  <c r="Z102" i="11" s="1"/>
  <c r="AC102" i="11" s="1"/>
  <c r="AF102" i="11" s="1"/>
  <c r="AB102" i="11"/>
  <c r="AE102" i="11" s="1"/>
  <c r="W116" i="12"/>
  <c r="X116" i="12"/>
  <c r="AA40" i="10"/>
  <c r="AD40" i="10" s="1"/>
  <c r="AG40" i="10" s="1"/>
  <c r="AA39" i="11"/>
  <c r="AD39" i="11" s="1"/>
  <c r="AG39" i="11" s="1"/>
  <c r="V39" i="11"/>
  <c r="W31" i="10"/>
  <c r="X31" i="10"/>
  <c r="Y34" i="10"/>
  <c r="Z34" i="10" s="1"/>
  <c r="AC34" i="10" s="1"/>
  <c r="AF34" i="10" s="1"/>
  <c r="AB34" i="10"/>
  <c r="AE34" i="10" s="1"/>
  <c r="AH34" i="10" s="1"/>
  <c r="AI34" i="10" s="1"/>
  <c r="AL52" i="12"/>
  <c r="AJ52" i="12"/>
  <c r="AM52" i="12" s="1"/>
  <c r="AO52" i="12" s="1"/>
  <c r="AK52" i="12"/>
  <c r="AH115" i="12"/>
  <c r="AI115" i="12" s="1"/>
  <c r="Y38" i="11"/>
  <c r="Z38" i="11" s="1"/>
  <c r="AC38" i="11" s="1"/>
  <c r="AF38" i="11" s="1"/>
  <c r="AB38" i="11"/>
  <c r="AE38" i="11" s="1"/>
  <c r="X41" i="10"/>
  <c r="AA106" i="12"/>
  <c r="AD106" i="12" s="1"/>
  <c r="AG106" i="12" s="1"/>
  <c r="V106" i="12"/>
  <c r="AH27" i="10"/>
  <c r="AI27" i="10" s="1"/>
  <c r="AH31" i="11"/>
  <c r="AI31" i="11" s="1"/>
  <c r="AB34" i="11"/>
  <c r="AE34" i="11" s="1"/>
  <c r="AH34" i="11" s="1"/>
  <c r="AI34" i="11" s="1"/>
  <c r="Y34" i="11"/>
  <c r="Z34" i="11" s="1"/>
  <c r="AC34" i="11" s="1"/>
  <c r="AF34" i="11" s="1"/>
  <c r="AB29" i="10"/>
  <c r="AE29" i="10" s="1"/>
  <c r="Y29" i="10"/>
  <c r="Z29" i="10" s="1"/>
  <c r="AC29" i="10" s="1"/>
  <c r="AF29" i="10" s="1"/>
  <c r="Y45" i="12"/>
  <c r="Z45" i="12" s="1"/>
  <c r="AC45" i="12" s="1"/>
  <c r="AF45" i="12" s="1"/>
  <c r="AH45" i="12" s="1"/>
  <c r="AI45" i="12" s="1"/>
  <c r="W44" i="10"/>
  <c r="X44" i="10"/>
  <c r="AH28" i="10"/>
  <c r="AI28" i="10" s="1"/>
  <c r="Q47" i="11"/>
  <c r="R47" i="11" s="1"/>
  <c r="S47" i="11" s="1"/>
  <c r="T47" i="11" s="1"/>
  <c r="AH31" i="12"/>
  <c r="AI31" i="12" s="1"/>
  <c r="AM33" i="10"/>
  <c r="AO33" i="10" s="1"/>
  <c r="AM43" i="10"/>
  <c r="AO43" i="10" s="1"/>
  <c r="AA107" i="12"/>
  <c r="AD107" i="12" s="1"/>
  <c r="AG107" i="12" s="1"/>
  <c r="AA45" i="10"/>
  <c r="AD45" i="10" s="1"/>
  <c r="AG45" i="10" s="1"/>
  <c r="AJ120" i="12"/>
  <c r="AK120" i="12"/>
  <c r="AL120" i="12"/>
  <c r="AJ27" i="11"/>
  <c r="AM27" i="11" s="1"/>
  <c r="AO27" i="11" s="1"/>
  <c r="AL27" i="11"/>
  <c r="P42" i="11"/>
  <c r="R42" i="11" s="1"/>
  <c r="S42" i="11" s="1"/>
  <c r="T42" i="11" s="1"/>
  <c r="Q42" i="11"/>
  <c r="U42" i="11"/>
  <c r="AB122" i="12"/>
  <c r="AE122" i="12" s="1"/>
  <c r="Y122" i="12"/>
  <c r="Z122" i="12" s="1"/>
  <c r="AC122" i="12" s="1"/>
  <c r="AF122" i="12" s="1"/>
  <c r="AJ28" i="12"/>
  <c r="AM28" i="12" s="1"/>
  <c r="AO28" i="12" s="1"/>
  <c r="AL28" i="12"/>
  <c r="AK28" i="12"/>
  <c r="P47" i="10"/>
  <c r="P42" i="10"/>
  <c r="P47" i="12"/>
  <c r="Q47" i="12" s="1"/>
  <c r="R47" i="12" s="1"/>
  <c r="S47" i="12" s="1"/>
  <c r="T47" i="12" s="1"/>
  <c r="AA37" i="11"/>
  <c r="AD37" i="11"/>
  <c r="AG37" i="11" s="1"/>
  <c r="X37" i="11"/>
  <c r="W37" i="11"/>
  <c r="AB37" i="11"/>
  <c r="AE37" i="11" s="1"/>
  <c r="Y37" i="11"/>
  <c r="Z37" i="11" s="1"/>
  <c r="AC37" i="11" s="1"/>
  <c r="AF37" i="11" s="1"/>
  <c r="AM33" i="11"/>
  <c r="AO33" i="11" s="1"/>
  <c r="AM44" i="11"/>
  <c r="AO44" i="11" s="1"/>
  <c r="AK39" i="12"/>
  <c r="Y40" i="10"/>
  <c r="Z40" i="10" s="1"/>
  <c r="AC40" i="10" s="1"/>
  <c r="AF40" i="10" s="1"/>
  <c r="AL43" i="12"/>
  <c r="AJ43" i="12"/>
  <c r="AK43" i="12"/>
  <c r="P42" i="12"/>
  <c r="U42" i="12"/>
  <c r="Q42" i="12"/>
  <c r="U125" i="12"/>
  <c r="AA125" i="12" s="1"/>
  <c r="AD125" i="12" s="1"/>
  <c r="AG125" i="12" s="1"/>
  <c r="AJ123" i="12"/>
  <c r="AL123" i="12"/>
  <c r="AK123" i="12"/>
  <c r="S37" i="12"/>
  <c r="T37" i="12" s="1"/>
  <c r="R37" i="12"/>
  <c r="W102" i="12"/>
  <c r="X45" i="11"/>
  <c r="V46" i="11"/>
  <c r="AA46" i="11"/>
  <c r="AD46" i="11" s="1"/>
  <c r="AG46" i="11" s="1"/>
  <c r="AA101" i="12"/>
  <c r="AD101" i="12" s="1"/>
  <c r="AG101" i="12" s="1"/>
  <c r="AK118" i="12"/>
  <c r="AJ118" i="12"/>
  <c r="AL118" i="12"/>
  <c r="Y39" i="10"/>
  <c r="Z39" i="10" s="1"/>
  <c r="AC39" i="10" s="1"/>
  <c r="AF39" i="10" s="1"/>
  <c r="AB39" i="10"/>
  <c r="AE39" i="10" s="1"/>
  <c r="AK34" i="12"/>
  <c r="AP23" i="11"/>
  <c r="AL30" i="12"/>
  <c r="AJ30" i="12"/>
  <c r="AM30" i="12" s="1"/>
  <c r="AO30" i="12" s="1"/>
  <c r="AL100" i="12"/>
  <c r="Q98" i="2"/>
  <c r="Z181" i="2"/>
  <c r="AC181" i="2" s="1"/>
  <c r="AF181" i="2" s="1"/>
  <c r="AH181" i="2" s="1"/>
  <c r="AI181" i="2" s="1"/>
  <c r="Q41" i="12"/>
  <c r="R41" i="12" s="1"/>
  <c r="S41" i="12" s="1"/>
  <c r="T41" i="12" s="1"/>
  <c r="Y33" i="12"/>
  <c r="Z33" i="12" s="1"/>
  <c r="AC33" i="12" s="1"/>
  <c r="AF33" i="12" s="1"/>
  <c r="AB33" i="12"/>
  <c r="AE33" i="12" s="1"/>
  <c r="U37" i="10"/>
  <c r="AD36" i="12"/>
  <c r="AG36" i="12" s="1"/>
  <c r="Y36" i="12"/>
  <c r="V36" i="12"/>
  <c r="Z36" i="12"/>
  <c r="AC36" i="12"/>
  <c r="AF36" i="12" s="1"/>
  <c r="AB36" i="12"/>
  <c r="AE36" i="12" s="1"/>
  <c r="X36" i="12"/>
  <c r="W36" i="12"/>
  <c r="AA36" i="12"/>
  <c r="AH43" i="11"/>
  <c r="AI43" i="11" s="1"/>
  <c r="AB32" i="10"/>
  <c r="AE32" i="10" s="1"/>
  <c r="Y32" i="10"/>
  <c r="AD32" i="10"/>
  <c r="AG32" i="10" s="1"/>
  <c r="X32" i="10"/>
  <c r="W32" i="10"/>
  <c r="Z32" i="10"/>
  <c r="AC32" i="10"/>
  <c r="AF32" i="10" s="1"/>
  <c r="V32" i="10"/>
  <c r="AA32" i="10"/>
  <c r="AM109" i="12"/>
  <c r="X30" i="10"/>
  <c r="W30" i="10"/>
  <c r="AM103" i="12"/>
  <c r="AO103" i="12" s="1"/>
  <c r="AL26" i="12"/>
  <c r="AJ26" i="12"/>
  <c r="AM26" i="12" s="1"/>
  <c r="AO26" i="12" s="1"/>
  <c r="AJ71" i="12"/>
  <c r="AL71" i="12"/>
  <c r="AK71" i="12"/>
  <c r="AH105" i="12"/>
  <c r="AI105" i="12" s="1"/>
  <c r="Z32" i="11"/>
  <c r="AA32" i="11"/>
  <c r="AB32" i="11"/>
  <c r="AE32" i="11" s="1"/>
  <c r="V32" i="11"/>
  <c r="Y32" i="11"/>
  <c r="X32" i="11"/>
  <c r="W32" i="11"/>
  <c r="AD32" i="11"/>
  <c r="AG32" i="11" s="1"/>
  <c r="AC32" i="11"/>
  <c r="AF32" i="11" s="1"/>
  <c r="Q41" i="11"/>
  <c r="R41" i="11" s="1"/>
  <c r="S41" i="11" s="1"/>
  <c r="T41" i="11" s="1"/>
  <c r="Q126" i="12"/>
  <c r="R126" i="12" s="1"/>
  <c r="S126" i="12" s="1"/>
  <c r="T126" i="12" s="1"/>
  <c r="Y104" i="12"/>
  <c r="Z104" i="12" s="1"/>
  <c r="AC104" i="12" s="1"/>
  <c r="AF104" i="12" s="1"/>
  <c r="AB104" i="12"/>
  <c r="AE104" i="12" s="1"/>
  <c r="AH104" i="12" s="1"/>
  <c r="AI104" i="12" s="1"/>
  <c r="AA102" i="12"/>
  <c r="AD102" i="12" s="1"/>
  <c r="AG102" i="12" s="1"/>
  <c r="X121" i="12"/>
  <c r="W121" i="12"/>
  <c r="AA45" i="11"/>
  <c r="AD45" i="11" s="1"/>
  <c r="AG45" i="11" s="1"/>
  <c r="V40" i="11"/>
  <c r="AM38" i="12"/>
  <c r="AO38" i="12" s="1"/>
  <c r="V35" i="10"/>
  <c r="Z44" i="12"/>
  <c r="AC44" i="12" s="1"/>
  <c r="AF44" i="12" s="1"/>
  <c r="AH44" i="12" s="1"/>
  <c r="AI44" i="12" s="1"/>
  <c r="V101" i="12"/>
  <c r="Z24" i="2"/>
  <c r="AC24" i="2" s="1"/>
  <c r="AH74" i="2"/>
  <c r="AI74" i="2" s="1"/>
  <c r="AL74" i="2" s="1"/>
  <c r="Z100" i="11"/>
  <c r="AC100" i="11" s="1"/>
  <c r="AF100" i="11" s="1"/>
  <c r="AH100" i="11" s="1"/>
  <c r="AI100" i="11" s="1"/>
  <c r="AJ100" i="11" s="1"/>
  <c r="Q105" i="10"/>
  <c r="R105" i="10" s="1"/>
  <c r="S105" i="10" s="1"/>
  <c r="T105" i="10" s="1"/>
  <c r="AH100" i="10"/>
  <c r="AI100" i="10" s="1"/>
  <c r="V104" i="10"/>
  <c r="AB101" i="10"/>
  <c r="AE101" i="10" s="1"/>
  <c r="Y101" i="10"/>
  <c r="Z101" i="10" s="1"/>
  <c r="AC101" i="10" s="1"/>
  <c r="AF101" i="10" s="1"/>
  <c r="O106" i="10"/>
  <c r="P106" i="10" s="1"/>
  <c r="AM95" i="10"/>
  <c r="V128" i="12"/>
  <c r="X128" i="12" s="1"/>
  <c r="U129" i="12"/>
  <c r="AA129" i="12" s="1"/>
  <c r="AD129" i="12" s="1"/>
  <c r="AG129" i="12" s="1"/>
  <c r="P131" i="12"/>
  <c r="L133" i="12"/>
  <c r="M133" i="12" s="1"/>
  <c r="N133" i="12" s="1"/>
  <c r="K134" i="12"/>
  <c r="K138" i="12"/>
  <c r="O132" i="12"/>
  <c r="R130" i="12"/>
  <c r="S130" i="12" s="1"/>
  <c r="T130" i="12" s="1"/>
  <c r="AM87" i="11"/>
  <c r="U103" i="11"/>
  <c r="AA103" i="11" s="1"/>
  <c r="AD103" i="11" s="1"/>
  <c r="AG103" i="11" s="1"/>
  <c r="O106" i="11"/>
  <c r="AH99" i="11"/>
  <c r="AI99" i="11" s="1"/>
  <c r="K108" i="11"/>
  <c r="L107" i="11"/>
  <c r="M107" i="11" s="1"/>
  <c r="N107" i="11" s="1"/>
  <c r="AB101" i="11"/>
  <c r="AE101" i="11" s="1"/>
  <c r="Y101" i="11"/>
  <c r="Z101" i="11" s="1"/>
  <c r="AC101" i="11" s="1"/>
  <c r="AF101" i="11" s="1"/>
  <c r="AJ97" i="11"/>
  <c r="AL97" i="11"/>
  <c r="AK97" i="11"/>
  <c r="Q104" i="11"/>
  <c r="R104" i="11" s="1"/>
  <c r="S104" i="11" s="1"/>
  <c r="T104" i="11" s="1"/>
  <c r="AM95" i="11"/>
  <c r="P105" i="11"/>
  <c r="AK96" i="10"/>
  <c r="AL96" i="10"/>
  <c r="W28" i="2"/>
  <c r="X28" i="2"/>
  <c r="AB25" i="2"/>
  <c r="AE25" i="2" s="1"/>
  <c r="W25" i="2"/>
  <c r="AC25" i="2"/>
  <c r="AD25" i="2"/>
  <c r="Z55" i="2"/>
  <c r="AC55" i="2"/>
  <c r="AF55" i="2" s="1"/>
  <c r="Y55" i="2"/>
  <c r="AA55" i="2"/>
  <c r="V55" i="2"/>
  <c r="AD55" i="2"/>
  <c r="AG55" i="2" s="1"/>
  <c r="W55" i="2"/>
  <c r="AB55" i="2"/>
  <c r="AE55" i="2" s="1"/>
  <c r="X55" i="2"/>
  <c r="AB165" i="2"/>
  <c r="AE165" i="2" s="1"/>
  <c r="Z165" i="2"/>
  <c r="AD165" i="2"/>
  <c r="AG165" i="2" s="1"/>
  <c r="Y165" i="2"/>
  <c r="AC165" i="2"/>
  <c r="AF165" i="2" s="1"/>
  <c r="W165" i="2"/>
  <c r="AA165" i="2"/>
  <c r="V165" i="2"/>
  <c r="X165" i="2"/>
  <c r="AA157" i="2"/>
  <c r="AD157" i="2" s="1"/>
  <c r="AG157" i="2" s="1"/>
  <c r="AJ49" i="2"/>
  <c r="AL49" i="2"/>
  <c r="AA50" i="2"/>
  <c r="AB50" i="2"/>
  <c r="AE50" i="2" s="1"/>
  <c r="AC50" i="2"/>
  <c r="AF50" i="2" s="1"/>
  <c r="V50" i="2"/>
  <c r="W50" i="2"/>
  <c r="Z50" i="2"/>
  <c r="X50" i="2"/>
  <c r="Y50" i="2"/>
  <c r="AD50" i="2"/>
  <c r="AG50" i="2" s="1"/>
  <c r="V53" i="2"/>
  <c r="U54" i="2"/>
  <c r="X157" i="2"/>
  <c r="Z157" i="2" s="1"/>
  <c r="AC157" i="2" s="1"/>
  <c r="AF157" i="2" s="1"/>
  <c r="Y156" i="2"/>
  <c r="Z156" i="2" s="1"/>
  <c r="AC156" i="2" s="1"/>
  <c r="AF156" i="2" s="1"/>
  <c r="AB156" i="2"/>
  <c r="AE156" i="2" s="1"/>
  <c r="AH164" i="2"/>
  <c r="AI164" i="2" s="1"/>
  <c r="O166" i="2"/>
  <c r="U29" i="2"/>
  <c r="X23" i="2"/>
  <c r="W23" i="2"/>
  <c r="AB23" i="2" s="1"/>
  <c r="AA28" i="2"/>
  <c r="AD28" i="2" s="1"/>
  <c r="AG28" i="2" s="1"/>
  <c r="AA53" i="2"/>
  <c r="AD53" i="2" s="1"/>
  <c r="AG53" i="2" s="1"/>
  <c r="AB157" i="2"/>
  <c r="AE157" i="2" s="1"/>
  <c r="L107" i="10"/>
  <c r="M107" i="10" s="1"/>
  <c r="N107" i="10" s="1"/>
  <c r="O107" i="10" s="1"/>
  <c r="P107" i="10" s="1"/>
  <c r="K108" i="10"/>
  <c r="AN199" i="10"/>
  <c r="AO199" i="10" s="1"/>
  <c r="AN194" i="10"/>
  <c r="AO194" i="10" s="1"/>
  <c r="AP191" i="10" s="1"/>
  <c r="AN189" i="10"/>
  <c r="AO189" i="10" s="1"/>
  <c r="AP186" i="10" s="1"/>
  <c r="AN184" i="10"/>
  <c r="AN179" i="10"/>
  <c r="U103" i="10"/>
  <c r="AM49" i="2"/>
  <c r="P82" i="2"/>
  <c r="S27" i="2"/>
  <c r="T27" i="2" s="1"/>
  <c r="S56" i="2"/>
  <c r="T56" i="2" s="1"/>
  <c r="AE23" i="2"/>
  <c r="S51" i="2"/>
  <c r="T51" i="2" s="1"/>
  <c r="S26" i="2"/>
  <c r="T26" i="2" s="1"/>
  <c r="S79" i="2"/>
  <c r="T79" i="2" s="1"/>
  <c r="Y25" i="2"/>
  <c r="Z25" i="2"/>
  <c r="AF25" i="2" s="1"/>
  <c r="AA25" i="2"/>
  <c r="V25" i="2"/>
  <c r="X25" i="2"/>
  <c r="S77" i="2"/>
  <c r="T77" i="2" s="1"/>
  <c r="S98" i="2"/>
  <c r="T98" i="2" s="1"/>
  <c r="S170" i="2"/>
  <c r="T170" i="2" s="1"/>
  <c r="Q30" i="2"/>
  <c r="R30" i="2" s="1"/>
  <c r="S30" i="2" s="1"/>
  <c r="T30" i="2" s="1"/>
  <c r="S78" i="2"/>
  <c r="T78" i="2" s="1"/>
  <c r="R170" i="2"/>
  <c r="P161" i="2"/>
  <c r="Q161" i="2" s="1"/>
  <c r="P166" i="2"/>
  <c r="P67" i="2"/>
  <c r="Q67" i="2" s="1"/>
  <c r="K82" i="2"/>
  <c r="L81" i="2"/>
  <c r="M81" i="2" s="1"/>
  <c r="R27" i="2"/>
  <c r="P52" i="2"/>
  <c r="Q52" i="2"/>
  <c r="R56" i="2"/>
  <c r="K168" i="2"/>
  <c r="L167" i="2"/>
  <c r="M167" i="2" s="1"/>
  <c r="N167" i="2" s="1"/>
  <c r="O99" i="2"/>
  <c r="U99" i="2" s="1"/>
  <c r="R51" i="2"/>
  <c r="O162" i="2"/>
  <c r="P57" i="2"/>
  <c r="Q57" i="2"/>
  <c r="R61" i="2"/>
  <c r="S61" i="2" s="1"/>
  <c r="T61" i="2" s="1"/>
  <c r="L191" i="2"/>
  <c r="M191" i="2" s="1"/>
  <c r="N191" i="2" s="1"/>
  <c r="K196" i="2"/>
  <c r="K192" i="2"/>
  <c r="R26" i="2"/>
  <c r="O186" i="2"/>
  <c r="K172" i="2"/>
  <c r="L171" i="2"/>
  <c r="M171" i="2" s="1"/>
  <c r="N171" i="2" s="1"/>
  <c r="K58" i="2"/>
  <c r="L57" i="2"/>
  <c r="M57" i="2" s="1"/>
  <c r="I101" i="2"/>
  <c r="J100" i="2"/>
  <c r="N100" i="2" s="1"/>
  <c r="AK100" i="2" s="1"/>
  <c r="K164" i="2"/>
  <c r="L163" i="2"/>
  <c r="M163" i="2" s="1"/>
  <c r="N163" i="2" s="1"/>
  <c r="R98" i="2"/>
  <c r="K188" i="2"/>
  <c r="L187" i="2"/>
  <c r="M187" i="2" s="1"/>
  <c r="N187" i="2" s="1"/>
  <c r="P62" i="2"/>
  <c r="Q62" i="2"/>
  <c r="K45" i="2"/>
  <c r="L44" i="2"/>
  <c r="M44" i="2" s="1"/>
  <c r="K41" i="2"/>
  <c r="L40" i="2"/>
  <c r="M40" i="2" s="1"/>
  <c r="I38" i="2"/>
  <c r="J33" i="2"/>
  <c r="N33" i="2" s="1"/>
  <c r="I34" i="2"/>
  <c r="P31" i="2"/>
  <c r="Q31" i="2"/>
  <c r="K37" i="2"/>
  <c r="L37" i="2" s="1"/>
  <c r="M37" i="2" s="1"/>
  <c r="L36" i="2"/>
  <c r="M36" i="2" s="1"/>
  <c r="O32" i="2"/>
  <c r="U32" i="2" s="1"/>
  <c r="O87" i="2"/>
  <c r="U87" i="2" s="1"/>
  <c r="R77" i="2"/>
  <c r="R79" i="2"/>
  <c r="Q82" i="2"/>
  <c r="AE24" i="2"/>
  <c r="AL34" i="12" l="1"/>
  <c r="AH40" i="10"/>
  <c r="AI40" i="10" s="1"/>
  <c r="V46" i="10"/>
  <c r="X46" i="10" s="1"/>
  <c r="AB124" i="12"/>
  <c r="AE124" i="12" s="1"/>
  <c r="AH124" i="12" s="1"/>
  <c r="AI124" i="12" s="1"/>
  <c r="Y124" i="12"/>
  <c r="Z124" i="12" s="1"/>
  <c r="AC124" i="12" s="1"/>
  <c r="AF124" i="12" s="1"/>
  <c r="AK100" i="12"/>
  <c r="AJ39" i="12"/>
  <c r="AH32" i="12"/>
  <c r="AI32" i="12" s="1"/>
  <c r="AJ32" i="12" s="1"/>
  <c r="AM32" i="12" s="1"/>
  <c r="AO32" i="12" s="1"/>
  <c r="AP28" i="12" s="1"/>
  <c r="AG25" i="2"/>
  <c r="AH39" i="10"/>
  <c r="AI39" i="10" s="1"/>
  <c r="AH101" i="10"/>
  <c r="AI101" i="10" s="1"/>
  <c r="AH40" i="12"/>
  <c r="AI40" i="12" s="1"/>
  <c r="AL100" i="11"/>
  <c r="AM43" i="12"/>
  <c r="AO43" i="12" s="1"/>
  <c r="AH102" i="11"/>
  <c r="AI102" i="11" s="1"/>
  <c r="AL102" i="11" s="1"/>
  <c r="Y23" i="2"/>
  <c r="Z23" i="2" s="1"/>
  <c r="AB127" i="12"/>
  <c r="AE127" i="12" s="1"/>
  <c r="AJ74" i="2"/>
  <c r="AM74" i="2" s="1"/>
  <c r="X127" i="12"/>
  <c r="Z127" i="12" s="1"/>
  <c r="AC127" i="12" s="1"/>
  <c r="AF127" i="12" s="1"/>
  <c r="AH127" i="12" s="1"/>
  <c r="AI127" i="12" s="1"/>
  <c r="AM38" i="10"/>
  <c r="AO38" i="10" s="1"/>
  <c r="Z41" i="10"/>
  <c r="AC41" i="10" s="1"/>
  <c r="AF41" i="10" s="1"/>
  <c r="U126" i="12"/>
  <c r="AJ40" i="10"/>
  <c r="AL40" i="10"/>
  <c r="AK40" i="10"/>
  <c r="U47" i="12"/>
  <c r="AL44" i="12"/>
  <c r="AJ44" i="12"/>
  <c r="AK44" i="12"/>
  <c r="AL45" i="12"/>
  <c r="AJ45" i="12"/>
  <c r="AK45" i="12"/>
  <c r="AN53" i="11"/>
  <c r="AO53" i="11" s="1"/>
  <c r="AN63" i="11"/>
  <c r="AO63" i="11" s="1"/>
  <c r="AN48" i="11"/>
  <c r="AO48" i="11" s="1"/>
  <c r="AN58" i="11"/>
  <c r="AO58" i="11" s="1"/>
  <c r="AN68" i="11"/>
  <c r="AO68" i="11" s="1"/>
  <c r="AL28" i="10"/>
  <c r="AJ28" i="10"/>
  <c r="AK28" i="10"/>
  <c r="Y31" i="10"/>
  <c r="Z31" i="10" s="1"/>
  <c r="AC31" i="10" s="1"/>
  <c r="AF31" i="10" s="1"/>
  <c r="AB31" i="10"/>
  <c r="AE31" i="10" s="1"/>
  <c r="W101" i="12"/>
  <c r="X101" i="12"/>
  <c r="AJ39" i="10"/>
  <c r="AL39" i="10"/>
  <c r="AK39" i="10"/>
  <c r="Y102" i="12"/>
  <c r="Z102" i="12" s="1"/>
  <c r="AC102" i="12" s="1"/>
  <c r="AF102" i="12" s="1"/>
  <c r="AB102" i="12"/>
  <c r="AE102" i="12" s="1"/>
  <c r="AL31" i="12"/>
  <c r="AJ31" i="12"/>
  <c r="AM31" i="12" s="1"/>
  <c r="AO31" i="12" s="1"/>
  <c r="AP23" i="12"/>
  <c r="AB121" i="12"/>
  <c r="AE121" i="12" s="1"/>
  <c r="Y121" i="12"/>
  <c r="Z121" i="12" s="1"/>
  <c r="AC121" i="12" s="1"/>
  <c r="AF121" i="12" s="1"/>
  <c r="AH121" i="12" s="1"/>
  <c r="AI121" i="12" s="1"/>
  <c r="AL104" i="12"/>
  <c r="AJ104" i="12"/>
  <c r="AK104" i="12"/>
  <c r="U41" i="11"/>
  <c r="AH32" i="11"/>
  <c r="AI32" i="11" s="1"/>
  <c r="V37" i="10"/>
  <c r="AH37" i="11"/>
  <c r="AI37" i="11" s="1"/>
  <c r="AH122" i="12"/>
  <c r="AI122" i="12" s="1"/>
  <c r="AA42" i="11"/>
  <c r="AD42" i="11" s="1"/>
  <c r="AG42" i="11" s="1"/>
  <c r="V42" i="11"/>
  <c r="W42" i="11" s="1"/>
  <c r="X42" i="11"/>
  <c r="Y42" i="11"/>
  <c r="Z42" i="11" s="1"/>
  <c r="AC42" i="11" s="1"/>
  <c r="AF42" i="11" s="1"/>
  <c r="AB42" i="11"/>
  <c r="AE42" i="11" s="1"/>
  <c r="U47" i="11"/>
  <c r="AH29" i="10"/>
  <c r="AI29" i="10" s="1"/>
  <c r="AJ31" i="11"/>
  <c r="AM31" i="11" s="1"/>
  <c r="AO31" i="11" s="1"/>
  <c r="AL31" i="11"/>
  <c r="AL115" i="12"/>
  <c r="AJ115" i="12"/>
  <c r="AK115" i="12"/>
  <c r="AJ34" i="10"/>
  <c r="AL34" i="10"/>
  <c r="AK34" i="10"/>
  <c r="X39" i="11"/>
  <c r="W39" i="11"/>
  <c r="AM114" i="12"/>
  <c r="W46" i="10"/>
  <c r="V46" i="12"/>
  <c r="AA46" i="12"/>
  <c r="AD46" i="12" s="1"/>
  <c r="AG46" i="12" s="1"/>
  <c r="U41" i="12"/>
  <c r="AA41" i="12" s="1"/>
  <c r="AD41" i="12" s="1"/>
  <c r="AG41" i="12" s="1"/>
  <c r="AK100" i="11"/>
  <c r="W40" i="11"/>
  <c r="X40" i="11"/>
  <c r="AH32" i="10"/>
  <c r="AI32" i="10" s="1"/>
  <c r="AH33" i="12"/>
  <c r="AI33" i="12" s="1"/>
  <c r="X46" i="11"/>
  <c r="W46" i="11"/>
  <c r="R42" i="12"/>
  <c r="S42" i="12"/>
  <c r="T42" i="12" s="1"/>
  <c r="Q42" i="10"/>
  <c r="R42" i="10" s="1"/>
  <c r="S42" i="10" s="1"/>
  <c r="T42" i="10" s="1"/>
  <c r="AM120" i="12"/>
  <c r="AB44" i="10"/>
  <c r="AE44" i="10" s="1"/>
  <c r="Y44" i="10"/>
  <c r="Z44" i="10" s="1"/>
  <c r="AC44" i="10" s="1"/>
  <c r="AF44" i="10" s="1"/>
  <c r="AJ27" i="10"/>
  <c r="AM27" i="10" s="1"/>
  <c r="AO27" i="10" s="1"/>
  <c r="AP23" i="10" s="1"/>
  <c r="AL27" i="10"/>
  <c r="V36" i="10"/>
  <c r="AA36" i="10"/>
  <c r="AD36" i="10" s="1"/>
  <c r="AG36" i="10" s="1"/>
  <c r="AK105" i="12"/>
  <c r="AL105" i="12"/>
  <c r="AJ105" i="12"/>
  <c r="Q47" i="10"/>
  <c r="R47" i="10" s="1"/>
  <c r="S47" i="10" s="1"/>
  <c r="T47" i="10" s="1"/>
  <c r="AJ119" i="12"/>
  <c r="AL119" i="12"/>
  <c r="AK119" i="12"/>
  <c r="X35" i="10"/>
  <c r="W35" i="10"/>
  <c r="AM71" i="12"/>
  <c r="AB30" i="10"/>
  <c r="AE30" i="10" s="1"/>
  <c r="Y30" i="10"/>
  <c r="Z30" i="10" s="1"/>
  <c r="AC30" i="10" s="1"/>
  <c r="AF30" i="10" s="1"/>
  <c r="AL43" i="11"/>
  <c r="AJ43" i="11"/>
  <c r="AK43" i="11"/>
  <c r="AH36" i="12"/>
  <c r="AI36" i="12" s="1"/>
  <c r="AM100" i="12"/>
  <c r="AM118" i="12"/>
  <c r="AO118" i="12" s="1"/>
  <c r="AA37" i="10"/>
  <c r="AD37" i="10" s="1"/>
  <c r="AG37" i="10" s="1"/>
  <c r="X37" i="12"/>
  <c r="AA37" i="12"/>
  <c r="W37" i="12"/>
  <c r="AB37" i="12"/>
  <c r="AE37" i="12" s="1"/>
  <c r="V37" i="12"/>
  <c r="AD37" i="12"/>
  <c r="AG37" i="12" s="1"/>
  <c r="AC37" i="12"/>
  <c r="AF37" i="12" s="1"/>
  <c r="Y37" i="12"/>
  <c r="Z37" i="12"/>
  <c r="AM123" i="12"/>
  <c r="V125" i="12"/>
  <c r="AM39" i="12"/>
  <c r="AO39" i="12" s="1"/>
  <c r="AL34" i="11"/>
  <c r="AJ34" i="11"/>
  <c r="AM34" i="11" s="1"/>
  <c r="AO34" i="11" s="1"/>
  <c r="AK34" i="11"/>
  <c r="X106" i="12"/>
  <c r="W106" i="12"/>
  <c r="AH38" i="11"/>
  <c r="AI38" i="11" s="1"/>
  <c r="Y116" i="12"/>
  <c r="Z116" i="12" s="1"/>
  <c r="AC116" i="12" s="1"/>
  <c r="AF116" i="12" s="1"/>
  <c r="AB116" i="12"/>
  <c r="AE116" i="12" s="1"/>
  <c r="W45" i="10"/>
  <c r="X45" i="10"/>
  <c r="AH107" i="12"/>
  <c r="AI107" i="12" s="1"/>
  <c r="AH41" i="10"/>
  <c r="AI41" i="10" s="1"/>
  <c r="Z45" i="11"/>
  <c r="AC45" i="11" s="1"/>
  <c r="AF45" i="11" s="1"/>
  <c r="AH45" i="11" s="1"/>
  <c r="AI45" i="11" s="1"/>
  <c r="AH165" i="2"/>
  <c r="AI165" i="2" s="1"/>
  <c r="AL165" i="2" s="1"/>
  <c r="AH157" i="2"/>
  <c r="AI157" i="2" s="1"/>
  <c r="Q107" i="10"/>
  <c r="R107" i="10" s="1"/>
  <c r="S107" i="10" s="1"/>
  <c r="T107" i="10" s="1"/>
  <c r="Q106" i="10"/>
  <c r="R106" i="10" s="1"/>
  <c r="S106" i="10" s="1"/>
  <c r="T106" i="10" s="1"/>
  <c r="AJ101" i="10"/>
  <c r="AL101" i="10"/>
  <c r="AK101" i="10"/>
  <c r="AJ100" i="10"/>
  <c r="AM100" i="10" s="1"/>
  <c r="AL100" i="10"/>
  <c r="AK100" i="10"/>
  <c r="U105" i="10"/>
  <c r="V105" i="10" s="1"/>
  <c r="W105" i="10" s="1"/>
  <c r="X104" i="10"/>
  <c r="W104" i="10"/>
  <c r="AM96" i="10"/>
  <c r="W128" i="12"/>
  <c r="V129" i="12"/>
  <c r="X129" i="12" s="1"/>
  <c r="U130" i="12"/>
  <c r="V130" i="12" s="1"/>
  <c r="O133" i="12"/>
  <c r="L138" i="12"/>
  <c r="M138" i="12" s="1"/>
  <c r="N138" i="12" s="1"/>
  <c r="K139" i="12"/>
  <c r="K143" i="12"/>
  <c r="P132" i="12"/>
  <c r="L134" i="12"/>
  <c r="M134" i="12" s="1"/>
  <c r="N134" i="12" s="1"/>
  <c r="K135" i="12"/>
  <c r="Q131" i="12"/>
  <c r="R131" i="12" s="1"/>
  <c r="S131" i="12" s="1"/>
  <c r="T131" i="12" s="1"/>
  <c r="AM100" i="11"/>
  <c r="AM97" i="11"/>
  <c r="U104" i="11"/>
  <c r="AA104" i="11" s="1"/>
  <c r="AD104" i="11" s="1"/>
  <c r="AG104" i="11" s="1"/>
  <c r="O107" i="11"/>
  <c r="L108" i="11"/>
  <c r="M108" i="11" s="1"/>
  <c r="N108" i="11" s="1"/>
  <c r="K113" i="11"/>
  <c r="K109" i="11"/>
  <c r="V103" i="11"/>
  <c r="AJ99" i="11"/>
  <c r="AL99" i="11"/>
  <c r="AK99" i="11"/>
  <c r="Q105" i="11"/>
  <c r="R105" i="11" s="1"/>
  <c r="S105" i="11" s="1"/>
  <c r="T105" i="11" s="1"/>
  <c r="AH101" i="11"/>
  <c r="AI101" i="11" s="1"/>
  <c r="P106" i="11"/>
  <c r="U78" i="2"/>
  <c r="AA77" i="2"/>
  <c r="V77" i="2"/>
  <c r="W77" i="2"/>
  <c r="AD77" i="2"/>
  <c r="AG77" i="2" s="1"/>
  <c r="AC77" i="2"/>
  <c r="AF77" i="2" s="1"/>
  <c r="X77" i="2"/>
  <c r="Y77" i="2"/>
  <c r="Z77" i="2"/>
  <c r="AB77" i="2"/>
  <c r="AE77" i="2" s="1"/>
  <c r="AC26" i="2"/>
  <c r="W26" i="2"/>
  <c r="AB26" i="2"/>
  <c r="AE26" i="2" s="1"/>
  <c r="AD26" i="2"/>
  <c r="AB56" i="2"/>
  <c r="AE56" i="2" s="1"/>
  <c r="X56" i="2"/>
  <c r="AC56" i="2"/>
  <c r="AF56" i="2" s="1"/>
  <c r="V56" i="2"/>
  <c r="AD56" i="2"/>
  <c r="AG56" i="2" s="1"/>
  <c r="Y56" i="2"/>
  <c r="W56" i="2"/>
  <c r="Z56" i="2"/>
  <c r="AA56" i="2"/>
  <c r="V29" i="2"/>
  <c r="AA29" i="2"/>
  <c r="AD29" i="2" s="1"/>
  <c r="AG29" i="2" s="1"/>
  <c r="AH156" i="2"/>
  <c r="AI156" i="2" s="1"/>
  <c r="W53" i="2"/>
  <c r="X53" i="2"/>
  <c r="AH50" i="2"/>
  <c r="AI50" i="2" s="1"/>
  <c r="O171" i="2"/>
  <c r="AL157" i="2"/>
  <c r="AJ157" i="2"/>
  <c r="AL164" i="2"/>
  <c r="AJ164" i="2"/>
  <c r="AM164" i="2" s="1"/>
  <c r="AO164" i="2" s="1"/>
  <c r="U30" i="2"/>
  <c r="AA30" i="2" s="1"/>
  <c r="AD30" i="2" s="1"/>
  <c r="AG30" i="2" s="1"/>
  <c r="AB51" i="2"/>
  <c r="AE51" i="2" s="1"/>
  <c r="W51" i="2"/>
  <c r="AC51" i="2"/>
  <c r="AF51" i="2" s="1"/>
  <c r="Y51" i="2"/>
  <c r="AD51" i="2"/>
  <c r="AG51" i="2" s="1"/>
  <c r="X51" i="2"/>
  <c r="Z51" i="2"/>
  <c r="V51" i="2"/>
  <c r="AA51" i="2"/>
  <c r="AH55" i="2"/>
  <c r="AI55" i="2" s="1"/>
  <c r="AB98" i="2"/>
  <c r="AE98" i="2" s="1"/>
  <c r="Z98" i="2"/>
  <c r="AD98" i="2"/>
  <c r="AG98" i="2" s="1"/>
  <c r="Y98" i="2"/>
  <c r="AC98" i="2"/>
  <c r="AF98" i="2" s="1"/>
  <c r="W98" i="2"/>
  <c r="V98" i="2"/>
  <c r="AA98" i="2"/>
  <c r="X98" i="2"/>
  <c r="V54" i="2"/>
  <c r="O163" i="2"/>
  <c r="O191" i="2"/>
  <c r="P191" i="2" s="1"/>
  <c r="Q191" i="2" s="1"/>
  <c r="AC61" i="2"/>
  <c r="AF61" i="2" s="1"/>
  <c r="AD61" i="2"/>
  <c r="AG61" i="2" s="1"/>
  <c r="V61" i="2"/>
  <c r="Z61" i="2"/>
  <c r="AA61" i="2"/>
  <c r="W61" i="2"/>
  <c r="X61" i="2"/>
  <c r="AB61" i="2"/>
  <c r="AE61" i="2" s="1"/>
  <c r="Y61" i="2"/>
  <c r="AB170" i="2"/>
  <c r="AE170" i="2" s="1"/>
  <c r="AC170" i="2"/>
  <c r="AF170" i="2" s="1"/>
  <c r="Z170" i="2"/>
  <c r="Y170" i="2"/>
  <c r="AD170" i="2"/>
  <c r="AG170" i="2" s="1"/>
  <c r="V170" i="2"/>
  <c r="W170" i="2"/>
  <c r="X170" i="2"/>
  <c r="AA170" i="2"/>
  <c r="AB79" i="2"/>
  <c r="AE79" i="2" s="1"/>
  <c r="Z79" i="2"/>
  <c r="AC79" i="2"/>
  <c r="AF79" i="2" s="1"/>
  <c r="W79" i="2"/>
  <c r="AA79" i="2"/>
  <c r="AD79" i="2"/>
  <c r="AG79" i="2" s="1"/>
  <c r="Y79" i="2"/>
  <c r="V79" i="2"/>
  <c r="X79" i="2"/>
  <c r="AD27" i="2"/>
  <c r="AC27" i="2"/>
  <c r="AB27" i="2"/>
  <c r="AE27" i="2" s="1"/>
  <c r="W27" i="2"/>
  <c r="AA54" i="2"/>
  <c r="AD54" i="2" s="1"/>
  <c r="AG54" i="2" s="1"/>
  <c r="AL181" i="2"/>
  <c r="AJ181" i="2"/>
  <c r="AK181" i="2"/>
  <c r="AK157" i="2"/>
  <c r="Y28" i="2"/>
  <c r="Z28" i="2" s="1"/>
  <c r="AC28" i="2" s="1"/>
  <c r="AF28" i="2" s="1"/>
  <c r="AB28" i="2"/>
  <c r="AE28" i="2" s="1"/>
  <c r="V103" i="10"/>
  <c r="AA103" i="10"/>
  <c r="AD103" i="10" s="1"/>
  <c r="AG103" i="10" s="1"/>
  <c r="L108" i="10"/>
  <c r="M108" i="10" s="1"/>
  <c r="N108" i="10" s="1"/>
  <c r="K113" i="10"/>
  <c r="K109" i="10"/>
  <c r="AP196" i="10"/>
  <c r="AH25" i="2"/>
  <c r="S52" i="2"/>
  <c r="T52" i="2" s="1"/>
  <c r="X27" i="2"/>
  <c r="V27" i="2"/>
  <c r="Y27" i="2"/>
  <c r="AA27" i="2"/>
  <c r="Z27" i="2"/>
  <c r="AF27" i="2" s="1"/>
  <c r="S82" i="2"/>
  <c r="T82" i="2" s="1"/>
  <c r="S62" i="2"/>
  <c r="T62" i="2" s="1"/>
  <c r="Q166" i="2"/>
  <c r="R166" i="2" s="1"/>
  <c r="Y26" i="2"/>
  <c r="AA26" i="2"/>
  <c r="Z26" i="2"/>
  <c r="V26" i="2"/>
  <c r="X26" i="2"/>
  <c r="P87" i="2"/>
  <c r="S31" i="2"/>
  <c r="T31" i="2" s="1"/>
  <c r="S57" i="2"/>
  <c r="T57" i="2" s="1"/>
  <c r="P171" i="2"/>
  <c r="Q171" i="2" s="1"/>
  <c r="P99" i="2"/>
  <c r="Q99" i="2"/>
  <c r="K169" i="2"/>
  <c r="L168" i="2"/>
  <c r="M168" i="2" s="1"/>
  <c r="N168" i="2" s="1"/>
  <c r="R52" i="2"/>
  <c r="R67" i="2"/>
  <c r="S67" i="2" s="1"/>
  <c r="T67" i="2" s="1"/>
  <c r="K189" i="2"/>
  <c r="L188" i="2"/>
  <c r="M188" i="2" s="1"/>
  <c r="I102" i="2"/>
  <c r="J101" i="2"/>
  <c r="N101" i="2" s="1"/>
  <c r="AK101" i="2" s="1"/>
  <c r="K173" i="2"/>
  <c r="L172" i="2"/>
  <c r="M172" i="2" s="1"/>
  <c r="N172" i="2" s="1"/>
  <c r="K197" i="2"/>
  <c r="L196" i="2"/>
  <c r="M196" i="2" s="1"/>
  <c r="N196" i="2" s="1"/>
  <c r="P162" i="2"/>
  <c r="P163" i="2"/>
  <c r="Q163" i="2" s="1"/>
  <c r="R57" i="2"/>
  <c r="K83" i="2"/>
  <c r="L82" i="2"/>
  <c r="M82" i="2" s="1"/>
  <c r="R161" i="2"/>
  <c r="S161" i="2" s="1"/>
  <c r="T161" i="2" s="1"/>
  <c r="O187" i="2"/>
  <c r="O100" i="2"/>
  <c r="U100" i="2" s="1"/>
  <c r="R62" i="2"/>
  <c r="K165" i="2"/>
  <c r="L165" i="2" s="1"/>
  <c r="M165" i="2" s="1"/>
  <c r="L164" i="2"/>
  <c r="M164" i="2" s="1"/>
  <c r="L58" i="2"/>
  <c r="M58" i="2" s="1"/>
  <c r="N58" i="2" s="1"/>
  <c r="K63" i="2"/>
  <c r="K59" i="2"/>
  <c r="P186" i="2"/>
  <c r="Q186" i="2" s="1"/>
  <c r="K193" i="2"/>
  <c r="L192" i="2"/>
  <c r="M192" i="2" s="1"/>
  <c r="N192" i="2" s="1"/>
  <c r="O167" i="2"/>
  <c r="I43" i="2"/>
  <c r="J38" i="2"/>
  <c r="N38" i="2" s="1"/>
  <c r="I39" i="2"/>
  <c r="R31" i="2"/>
  <c r="K46" i="2"/>
  <c r="L45" i="2"/>
  <c r="M45" i="2" s="1"/>
  <c r="O33" i="2"/>
  <c r="P32" i="2"/>
  <c r="Q32" i="2"/>
  <c r="I35" i="2"/>
  <c r="J34" i="2"/>
  <c r="N34" i="2" s="1"/>
  <c r="K42" i="2"/>
  <c r="L42" i="2" s="1"/>
  <c r="M42" i="2" s="1"/>
  <c r="L41" i="2"/>
  <c r="M41" i="2" s="1"/>
  <c r="Q87" i="2"/>
  <c r="R82" i="2"/>
  <c r="AF24" i="2"/>
  <c r="AH24" i="2" s="1"/>
  <c r="AI24" i="2" s="1"/>
  <c r="AK102" i="11" l="1"/>
  <c r="AL124" i="12"/>
  <c r="AJ124" i="12"/>
  <c r="AK124" i="12"/>
  <c r="AL32" i="12"/>
  <c r="AJ102" i="11"/>
  <c r="AG26" i="2"/>
  <c r="AJ165" i="2"/>
  <c r="AM165" i="2" s="1"/>
  <c r="AO165" i="2" s="1"/>
  <c r="AM105" i="12"/>
  <c r="AJ40" i="12"/>
  <c r="AM40" i="12" s="1"/>
  <c r="AO40" i="12" s="1"/>
  <c r="AL40" i="12"/>
  <c r="AK40" i="12"/>
  <c r="AH42" i="11"/>
  <c r="AI42" i="11" s="1"/>
  <c r="AL127" i="12"/>
  <c r="AJ127" i="12"/>
  <c r="AK127" i="12"/>
  <c r="AM127" i="12" s="1"/>
  <c r="AF26" i="2"/>
  <c r="AH26" i="2" s="1"/>
  <c r="AM43" i="11"/>
  <c r="AO43" i="11" s="1"/>
  <c r="AH44" i="10"/>
  <c r="AI44" i="10" s="1"/>
  <c r="AH30" i="10"/>
  <c r="AI30" i="10" s="1"/>
  <c r="AK30" i="10" s="1"/>
  <c r="AM28" i="10"/>
  <c r="AO28" i="10" s="1"/>
  <c r="AM45" i="12"/>
  <c r="AO45" i="12" s="1"/>
  <c r="AL45" i="11"/>
  <c r="AJ45" i="11"/>
  <c r="AK45" i="11"/>
  <c r="AN64" i="12"/>
  <c r="AO64" i="12" s="1"/>
  <c r="AN59" i="12"/>
  <c r="AO59" i="12" s="1"/>
  <c r="AN54" i="12"/>
  <c r="AO54" i="12" s="1"/>
  <c r="AN49" i="12"/>
  <c r="AO49" i="12" s="1"/>
  <c r="AN69" i="12"/>
  <c r="AO69" i="12" s="1"/>
  <c r="AJ107" i="12"/>
  <c r="AL107" i="12"/>
  <c r="AK107" i="12"/>
  <c r="Y106" i="12"/>
  <c r="Z106" i="12" s="1"/>
  <c r="AC106" i="12" s="1"/>
  <c r="AF106" i="12" s="1"/>
  <c r="AB106" i="12"/>
  <c r="AE106" i="12" s="1"/>
  <c r="W125" i="12"/>
  <c r="X125" i="12"/>
  <c r="AL44" i="10"/>
  <c r="AJ44" i="10"/>
  <c r="AK44" i="10"/>
  <c r="AA42" i="12"/>
  <c r="AB42" i="12"/>
  <c r="AE42" i="12" s="1"/>
  <c r="X42" i="12"/>
  <c r="AC42" i="12"/>
  <c r="AF42" i="12" s="1"/>
  <c r="V42" i="12"/>
  <c r="Y42" i="12"/>
  <c r="AD42" i="12"/>
  <c r="AG42" i="12" s="1"/>
  <c r="W42" i="12"/>
  <c r="Z42" i="12"/>
  <c r="AL33" i="12"/>
  <c r="AJ33" i="12"/>
  <c r="AK33" i="12"/>
  <c r="AA47" i="11"/>
  <c r="AD47" i="11" s="1"/>
  <c r="AG47" i="11" s="1"/>
  <c r="AL37" i="11"/>
  <c r="AJ37" i="11"/>
  <c r="AM37" i="11" s="1"/>
  <c r="AO37" i="11" s="1"/>
  <c r="AL32" i="11"/>
  <c r="AJ32" i="11"/>
  <c r="AM32" i="11" s="1"/>
  <c r="AO32" i="11" s="1"/>
  <c r="AH116" i="12"/>
  <c r="AI116" i="12" s="1"/>
  <c r="Y35" i="10"/>
  <c r="Z35" i="10" s="1"/>
  <c r="AC35" i="10" s="1"/>
  <c r="AF35" i="10" s="1"/>
  <c r="AB35" i="10"/>
  <c r="AE35" i="10" s="1"/>
  <c r="AM119" i="12"/>
  <c r="AJ32" i="10"/>
  <c r="AM32" i="10" s="1"/>
  <c r="AO32" i="10" s="1"/>
  <c r="AL32" i="10"/>
  <c r="AB39" i="11"/>
  <c r="AE39" i="11" s="1"/>
  <c r="Y39" i="11"/>
  <c r="Z39" i="11" s="1"/>
  <c r="AC39" i="11" s="1"/>
  <c r="AF39" i="11" s="1"/>
  <c r="AM34" i="10"/>
  <c r="AO34" i="10" s="1"/>
  <c r="V47" i="11"/>
  <c r="V41" i="11"/>
  <c r="AA41" i="11"/>
  <c r="AD41" i="11" s="1"/>
  <c r="AG41" i="11" s="1"/>
  <c r="AJ121" i="12"/>
  <c r="AL121" i="12"/>
  <c r="AK121" i="12"/>
  <c r="AM102" i="11"/>
  <c r="AH102" i="12"/>
  <c r="AI102" i="12" s="1"/>
  <c r="AM39" i="10"/>
  <c r="AO39" i="10" s="1"/>
  <c r="AH31" i="10"/>
  <c r="AI31" i="10" s="1"/>
  <c r="AA47" i="12"/>
  <c r="AD47" i="12" s="1"/>
  <c r="AG47" i="12" s="1"/>
  <c r="AM40" i="10"/>
  <c r="AO40" i="10" s="1"/>
  <c r="Y45" i="10"/>
  <c r="Z45" i="10" s="1"/>
  <c r="AC45" i="10" s="1"/>
  <c r="AF45" i="10" s="1"/>
  <c r="AB45" i="10"/>
  <c r="AE45" i="10" s="1"/>
  <c r="AL36" i="12"/>
  <c r="AJ36" i="12"/>
  <c r="AM36" i="12" s="1"/>
  <c r="AO36" i="12" s="1"/>
  <c r="AJ30" i="10"/>
  <c r="AM30" i="10" s="1"/>
  <c r="AO30" i="10" s="1"/>
  <c r="U47" i="10"/>
  <c r="AA47" i="10" s="1"/>
  <c r="AD47" i="10" s="1"/>
  <c r="AG47" i="10" s="1"/>
  <c r="X36" i="10"/>
  <c r="W36" i="10"/>
  <c r="AN58" i="10"/>
  <c r="AO58" i="10" s="1"/>
  <c r="AN53" i="10"/>
  <c r="AO53" i="10" s="1"/>
  <c r="AN68" i="10"/>
  <c r="AO68" i="10" s="1"/>
  <c r="AN48" i="10"/>
  <c r="AO48" i="10" s="1"/>
  <c r="AN63" i="10"/>
  <c r="AO63" i="10" s="1"/>
  <c r="U42" i="10"/>
  <c r="AA42" i="10" s="1"/>
  <c r="AD42" i="10" s="1"/>
  <c r="AG42" i="10" s="1"/>
  <c r="AB46" i="11"/>
  <c r="AE46" i="11" s="1"/>
  <c r="Y46" i="11"/>
  <c r="Z46" i="11" s="1"/>
  <c r="AC46" i="11" s="1"/>
  <c r="AF46" i="11" s="1"/>
  <c r="X46" i="12"/>
  <c r="W46" i="12"/>
  <c r="AP28" i="11"/>
  <c r="AL42" i="11"/>
  <c r="AJ42" i="11"/>
  <c r="AM42" i="11" s="1"/>
  <c r="AO42" i="11" s="1"/>
  <c r="X37" i="10"/>
  <c r="W37" i="10"/>
  <c r="V47" i="12"/>
  <c r="AA126" i="12"/>
  <c r="AD126" i="12" s="1"/>
  <c r="AG126" i="12" s="1"/>
  <c r="AJ41" i="10"/>
  <c r="AL41" i="10"/>
  <c r="AK41" i="10"/>
  <c r="AL38" i="11"/>
  <c r="AJ38" i="11"/>
  <c r="AK38" i="11"/>
  <c r="AP33" i="11"/>
  <c r="AH37" i="12"/>
  <c r="AI37" i="12" s="1"/>
  <c r="Y40" i="11"/>
  <c r="Z40" i="11" s="1"/>
  <c r="AC40" i="11" s="1"/>
  <c r="AF40" i="11" s="1"/>
  <c r="AB40" i="11"/>
  <c r="AE40" i="11" s="1"/>
  <c r="V41" i="12"/>
  <c r="Y46" i="10"/>
  <c r="Z46" i="10" s="1"/>
  <c r="AC46" i="10" s="1"/>
  <c r="AF46" i="10" s="1"/>
  <c r="AB46" i="10"/>
  <c r="AE46" i="10" s="1"/>
  <c r="AM115" i="12"/>
  <c r="AJ29" i="10"/>
  <c r="AL29" i="10"/>
  <c r="AK29" i="10"/>
  <c r="AK122" i="12"/>
  <c r="AL122" i="12"/>
  <c r="AJ122" i="12"/>
  <c r="AM104" i="12"/>
  <c r="AN58" i="12"/>
  <c r="AO58" i="12" s="1"/>
  <c r="AN63" i="12"/>
  <c r="AO63" i="12" s="1"/>
  <c r="AN53" i="12"/>
  <c r="AO53" i="12" s="1"/>
  <c r="AN68" i="12"/>
  <c r="AO68" i="12" s="1"/>
  <c r="AN48" i="12"/>
  <c r="AO48" i="12" s="1"/>
  <c r="AB101" i="12"/>
  <c r="AE101" i="12" s="1"/>
  <c r="Y101" i="12"/>
  <c r="Z101" i="12" s="1"/>
  <c r="AC101" i="12" s="1"/>
  <c r="AF101" i="12" s="1"/>
  <c r="AM44" i="12"/>
  <c r="AO44" i="12" s="1"/>
  <c r="V126" i="12"/>
  <c r="V30" i="2"/>
  <c r="AH56" i="2"/>
  <c r="AI56" i="2" s="1"/>
  <c r="AL56" i="2" s="1"/>
  <c r="W129" i="12"/>
  <c r="Y105" i="10"/>
  <c r="AB105" i="10"/>
  <c r="AE105" i="10" s="1"/>
  <c r="U107" i="10"/>
  <c r="V107" i="10" s="1"/>
  <c r="U106" i="10"/>
  <c r="AA106" i="10" s="1"/>
  <c r="AD106" i="10" s="1"/>
  <c r="AG106" i="10" s="1"/>
  <c r="Y104" i="10"/>
  <c r="Z104" i="10" s="1"/>
  <c r="AC104" i="10" s="1"/>
  <c r="AF104" i="10" s="1"/>
  <c r="AB104" i="10"/>
  <c r="AE104" i="10" s="1"/>
  <c r="X105" i="10"/>
  <c r="AM101" i="10"/>
  <c r="AA105" i="10"/>
  <c r="AD105" i="10" s="1"/>
  <c r="AG105" i="10" s="1"/>
  <c r="AB128" i="12"/>
  <c r="AE128" i="12" s="1"/>
  <c r="Y128" i="12"/>
  <c r="Z128" i="12" s="1"/>
  <c r="AC128" i="12" s="1"/>
  <c r="AF128" i="12" s="1"/>
  <c r="W130" i="12"/>
  <c r="X130" i="12"/>
  <c r="U131" i="12"/>
  <c r="V131" i="12" s="1"/>
  <c r="X131" i="12" s="1"/>
  <c r="Y130" i="12"/>
  <c r="AB130" i="12"/>
  <c r="AE130" i="12" s="1"/>
  <c r="P133" i="12"/>
  <c r="L139" i="12"/>
  <c r="M139" i="12" s="1"/>
  <c r="N139" i="12" s="1"/>
  <c r="K140" i="12"/>
  <c r="O134" i="12"/>
  <c r="Q132" i="12"/>
  <c r="R132" i="12" s="1"/>
  <c r="S132" i="12" s="1"/>
  <c r="T132" i="12" s="1"/>
  <c r="L143" i="12"/>
  <c r="M143" i="12" s="1"/>
  <c r="N143" i="12" s="1"/>
  <c r="K144" i="12"/>
  <c r="L135" i="12"/>
  <c r="M135" i="12" s="1"/>
  <c r="N135" i="12" s="1"/>
  <c r="K136" i="12"/>
  <c r="O138" i="12"/>
  <c r="AB129" i="12"/>
  <c r="AE129" i="12" s="1"/>
  <c r="Y129" i="12"/>
  <c r="Z129" i="12" s="1"/>
  <c r="AC129" i="12" s="1"/>
  <c r="AF129" i="12" s="1"/>
  <c r="AA130" i="12"/>
  <c r="AD130" i="12" s="1"/>
  <c r="AG130" i="12" s="1"/>
  <c r="U105" i="11"/>
  <c r="V105" i="11" s="1"/>
  <c r="W105" i="11" s="1"/>
  <c r="X103" i="11"/>
  <c r="W103" i="11"/>
  <c r="O108" i="11"/>
  <c r="Q106" i="11"/>
  <c r="R106" i="11" s="1"/>
  <c r="S106" i="11" s="1"/>
  <c r="T106" i="11" s="1"/>
  <c r="AM99" i="11"/>
  <c r="P107" i="11"/>
  <c r="V104" i="11"/>
  <c r="L109" i="11"/>
  <c r="M109" i="11" s="1"/>
  <c r="N109" i="11" s="1"/>
  <c r="K110" i="11"/>
  <c r="AL101" i="11"/>
  <c r="AJ101" i="11"/>
  <c r="AK101" i="11"/>
  <c r="L113" i="11"/>
  <c r="M113" i="11" s="1"/>
  <c r="N113" i="11" s="1"/>
  <c r="K118" i="11"/>
  <c r="K114" i="11"/>
  <c r="U161" i="2"/>
  <c r="V161" i="2" s="1"/>
  <c r="W161" i="2" s="1"/>
  <c r="Y161" i="2" s="1"/>
  <c r="X54" i="2"/>
  <c r="W54" i="2"/>
  <c r="AL50" i="2"/>
  <c r="AJ50" i="2"/>
  <c r="AJ56" i="2"/>
  <c r="O172" i="2"/>
  <c r="O168" i="2"/>
  <c r="P168" i="2" s="1"/>
  <c r="Q168" i="2" s="1"/>
  <c r="AC23" i="2"/>
  <c r="AF23" i="2" s="1"/>
  <c r="AH23" i="2" s="1"/>
  <c r="AI23" i="2" s="1"/>
  <c r="AH61" i="2"/>
  <c r="AI61" i="2" s="1"/>
  <c r="AH98" i="2"/>
  <c r="AI98" i="2" s="1"/>
  <c r="AA78" i="2"/>
  <c r="AD78" i="2" s="1"/>
  <c r="AG78" i="2" s="1"/>
  <c r="AA82" i="2"/>
  <c r="AD82" i="2"/>
  <c r="AG82" i="2" s="1"/>
  <c r="Z82" i="2"/>
  <c r="V82" i="2"/>
  <c r="Y82" i="2"/>
  <c r="X82" i="2"/>
  <c r="W82" i="2"/>
  <c r="AC82" i="2"/>
  <c r="AF82" i="2" s="1"/>
  <c r="AB82" i="2"/>
  <c r="AE82" i="2" s="1"/>
  <c r="AB57" i="2"/>
  <c r="AE57" i="2" s="1"/>
  <c r="AD57" i="2"/>
  <c r="AG57" i="2" s="1"/>
  <c r="Y57" i="2"/>
  <c r="AC57" i="2"/>
  <c r="AF57" i="2" s="1"/>
  <c r="W57" i="2"/>
  <c r="AA57" i="2"/>
  <c r="V57" i="2"/>
  <c r="Z57" i="2"/>
  <c r="X57" i="2"/>
  <c r="AG27" i="2"/>
  <c r="AB52" i="2"/>
  <c r="AE52" i="2" s="1"/>
  <c r="Z52" i="2"/>
  <c r="AC52" i="2"/>
  <c r="AF52" i="2" s="1"/>
  <c r="V52" i="2"/>
  <c r="W52" i="2"/>
  <c r="Y52" i="2"/>
  <c r="AD52" i="2"/>
  <c r="AG52" i="2" s="1"/>
  <c r="AA52" i="2"/>
  <c r="X52" i="2"/>
  <c r="AH28" i="2"/>
  <c r="AI28" i="2" s="1"/>
  <c r="AH79" i="2"/>
  <c r="AI79" i="2" s="1"/>
  <c r="AL55" i="2"/>
  <c r="AJ55" i="2"/>
  <c r="AH51" i="2"/>
  <c r="AI51" i="2" s="1"/>
  <c r="Y53" i="2"/>
  <c r="Z53" i="2" s="1"/>
  <c r="AC53" i="2" s="1"/>
  <c r="AF53" i="2" s="1"/>
  <c r="AB53" i="2"/>
  <c r="AE53" i="2" s="1"/>
  <c r="V78" i="2"/>
  <c r="AB67" i="2"/>
  <c r="AE67" i="2" s="1"/>
  <c r="AC67" i="2"/>
  <c r="AF67" i="2" s="1"/>
  <c r="Y67" i="2"/>
  <c r="V67" i="2"/>
  <c r="AD67" i="2"/>
  <c r="AG67" i="2" s="1"/>
  <c r="X67" i="2"/>
  <c r="Z67" i="2"/>
  <c r="W67" i="2"/>
  <c r="AA67" i="2"/>
  <c r="AB31" i="2"/>
  <c r="AE31" i="2" s="1"/>
  <c r="AC31" i="2"/>
  <c r="AF31" i="2" s="1"/>
  <c r="V31" i="2"/>
  <c r="Z31" i="2"/>
  <c r="AD31" i="2"/>
  <c r="AG31" i="2" s="1"/>
  <c r="Y31" i="2"/>
  <c r="W31" i="2"/>
  <c r="X31" i="2"/>
  <c r="AA31" i="2"/>
  <c r="AB62" i="2"/>
  <c r="AE62" i="2" s="1"/>
  <c r="Y62" i="2"/>
  <c r="AC62" i="2"/>
  <c r="AF62" i="2" s="1"/>
  <c r="AD62" i="2"/>
  <c r="AG62" i="2" s="1"/>
  <c r="Z62" i="2"/>
  <c r="V62" i="2"/>
  <c r="AA62" i="2"/>
  <c r="X62" i="2"/>
  <c r="W62" i="2"/>
  <c r="AH170" i="2"/>
  <c r="AI170" i="2" s="1"/>
  <c r="AL156" i="2"/>
  <c r="AJ156" i="2"/>
  <c r="AK156" i="2"/>
  <c r="W29" i="2"/>
  <c r="X29" i="2"/>
  <c r="AH77" i="2"/>
  <c r="AI77" i="2" s="1"/>
  <c r="AO87" i="10"/>
  <c r="L109" i="10"/>
  <c r="M109" i="10" s="1"/>
  <c r="N109" i="10" s="1"/>
  <c r="K110" i="10"/>
  <c r="X103" i="10"/>
  <c r="W103" i="10"/>
  <c r="O108" i="10"/>
  <c r="L113" i="10"/>
  <c r="M113" i="10" s="1"/>
  <c r="N113" i="10" s="1"/>
  <c r="K118" i="10"/>
  <c r="K114" i="10"/>
  <c r="AI25" i="2"/>
  <c r="AM50" i="2"/>
  <c r="AM48" i="2"/>
  <c r="AH27" i="2"/>
  <c r="S32" i="2"/>
  <c r="T32" i="2" s="1"/>
  <c r="Q162" i="2"/>
  <c r="S87" i="2"/>
  <c r="T87" i="2" s="1"/>
  <c r="S99" i="2"/>
  <c r="T99" i="2" s="1"/>
  <c r="S166" i="2"/>
  <c r="T166" i="2" s="1"/>
  <c r="L83" i="2"/>
  <c r="M83" i="2" s="1"/>
  <c r="N83" i="2" s="1"/>
  <c r="K84" i="2"/>
  <c r="K88" i="2"/>
  <c r="O101" i="2"/>
  <c r="U101" i="2" s="1"/>
  <c r="P167" i="2"/>
  <c r="O192" i="2"/>
  <c r="R186" i="2"/>
  <c r="P187" i="2"/>
  <c r="R191" i="2"/>
  <c r="I103" i="2"/>
  <c r="J102" i="2"/>
  <c r="N102" i="2" s="1"/>
  <c r="AK102" i="2" s="1"/>
  <c r="K170" i="2"/>
  <c r="L170" i="2" s="1"/>
  <c r="M170" i="2" s="1"/>
  <c r="L169" i="2"/>
  <c r="M169" i="2" s="1"/>
  <c r="N169" i="2" s="1"/>
  <c r="K198" i="2"/>
  <c r="L197" i="2"/>
  <c r="M197" i="2" s="1"/>
  <c r="N197" i="2" s="1"/>
  <c r="K194" i="2"/>
  <c r="L193" i="2"/>
  <c r="M193" i="2" s="1"/>
  <c r="N193" i="2" s="1"/>
  <c r="K60" i="2"/>
  <c r="L59" i="2"/>
  <c r="M59" i="2" s="1"/>
  <c r="N59" i="2" s="1"/>
  <c r="R163" i="2"/>
  <c r="P172" i="2"/>
  <c r="O58" i="2"/>
  <c r="L63" i="2"/>
  <c r="M63" i="2" s="1"/>
  <c r="N63" i="2" s="1"/>
  <c r="K64" i="2"/>
  <c r="K68" i="2"/>
  <c r="P100" i="2"/>
  <c r="Q100" i="2"/>
  <c r="O196" i="2"/>
  <c r="K174" i="2"/>
  <c r="L173" i="2"/>
  <c r="M173" i="2" s="1"/>
  <c r="N173" i="2" s="1"/>
  <c r="K190" i="2"/>
  <c r="L190" i="2" s="1"/>
  <c r="M190" i="2" s="1"/>
  <c r="L189" i="2"/>
  <c r="M189" i="2" s="1"/>
  <c r="R99" i="2"/>
  <c r="R171" i="2"/>
  <c r="P33" i="2"/>
  <c r="I40" i="2"/>
  <c r="J39" i="2"/>
  <c r="N39" i="2" s="1"/>
  <c r="O38" i="2"/>
  <c r="O34" i="2"/>
  <c r="R32" i="2"/>
  <c r="K47" i="2"/>
  <c r="L47" i="2" s="1"/>
  <c r="M47" i="2" s="1"/>
  <c r="L46" i="2"/>
  <c r="M46" i="2" s="1"/>
  <c r="J43" i="2"/>
  <c r="N43" i="2" s="1"/>
  <c r="I44" i="2"/>
  <c r="I36" i="2"/>
  <c r="J35" i="2"/>
  <c r="N35" i="2" s="1"/>
  <c r="R87" i="2"/>
  <c r="AL30" i="10" l="1"/>
  <c r="AM124" i="12"/>
  <c r="AH46" i="11"/>
  <c r="AI46" i="11" s="1"/>
  <c r="AH46" i="10"/>
  <c r="AI46" i="10" s="1"/>
  <c r="AJ46" i="10" s="1"/>
  <c r="AM38" i="11"/>
  <c r="AO38" i="11" s="1"/>
  <c r="AM41" i="10"/>
  <c r="AO41" i="10" s="1"/>
  <c r="AH45" i="10"/>
  <c r="AI45" i="10" s="1"/>
  <c r="AM121" i="12"/>
  <c r="AH35" i="10"/>
  <c r="AI35" i="10" s="1"/>
  <c r="AM45" i="11"/>
  <c r="AO45" i="11" s="1"/>
  <c r="Z105" i="10"/>
  <c r="AC105" i="10" s="1"/>
  <c r="AF105" i="10" s="1"/>
  <c r="AM122" i="12"/>
  <c r="AH42" i="12"/>
  <c r="AI42" i="12" s="1"/>
  <c r="AL46" i="10"/>
  <c r="AK46" i="10"/>
  <c r="X47" i="12"/>
  <c r="W47" i="12"/>
  <c r="AB36" i="10"/>
  <c r="AE36" i="10" s="1"/>
  <c r="Y36" i="10"/>
  <c r="Z36" i="10" s="1"/>
  <c r="AC36" i="10" s="1"/>
  <c r="AF36" i="10" s="1"/>
  <c r="AJ45" i="10"/>
  <c r="AL45" i="10"/>
  <c r="AK45" i="10"/>
  <c r="AL35" i="10"/>
  <c r="AJ35" i="10"/>
  <c r="AK35" i="10"/>
  <c r="AJ37" i="12"/>
  <c r="AM37" i="12" s="1"/>
  <c r="AO37" i="12" s="1"/>
  <c r="AL37" i="12"/>
  <c r="AB37" i="10"/>
  <c r="AE37" i="10" s="1"/>
  <c r="Y37" i="10"/>
  <c r="Z37" i="10" s="1"/>
  <c r="AC37" i="10" s="1"/>
  <c r="AF37" i="10" s="1"/>
  <c r="AN64" i="11"/>
  <c r="AO64" i="11" s="1"/>
  <c r="AN59" i="11"/>
  <c r="AO59" i="11" s="1"/>
  <c r="AN54" i="11"/>
  <c r="AO54" i="11" s="1"/>
  <c r="AN69" i="11"/>
  <c r="AO69" i="11" s="1"/>
  <c r="AN49" i="11"/>
  <c r="AO49" i="11" s="1"/>
  <c r="AL46" i="11"/>
  <c r="AJ46" i="11"/>
  <c r="AM46" i="11" s="1"/>
  <c r="AO46" i="11" s="1"/>
  <c r="AK46" i="11"/>
  <c r="AJ31" i="10"/>
  <c r="AM31" i="10" s="1"/>
  <c r="AO31" i="10" s="1"/>
  <c r="AL31" i="10"/>
  <c r="AK31" i="10"/>
  <c r="AH101" i="12"/>
  <c r="AI101" i="12" s="1"/>
  <c r="AM29" i="10"/>
  <c r="AO29" i="10" s="1"/>
  <c r="AP28" i="10" s="1"/>
  <c r="W41" i="12"/>
  <c r="X41" i="12"/>
  <c r="AN60" i="11"/>
  <c r="AO60" i="11" s="1"/>
  <c r="AN70" i="11"/>
  <c r="AO70" i="11" s="1"/>
  <c r="AN65" i="11"/>
  <c r="AO65" i="11" s="1"/>
  <c r="AN55" i="11"/>
  <c r="AO55" i="11" s="1"/>
  <c r="AN50" i="11"/>
  <c r="AO50" i="11" s="1"/>
  <c r="AB46" i="12"/>
  <c r="AE46" i="12" s="1"/>
  <c r="Y46" i="12"/>
  <c r="Z46" i="12" s="1"/>
  <c r="AC46" i="12" s="1"/>
  <c r="AF46" i="12" s="1"/>
  <c r="V42" i="10"/>
  <c r="V47" i="10"/>
  <c r="X41" i="11"/>
  <c r="W41" i="11"/>
  <c r="AH39" i="11"/>
  <c r="AI39" i="11" s="1"/>
  <c r="AM33" i="12"/>
  <c r="AO33" i="12" s="1"/>
  <c r="AP33" i="12" s="1"/>
  <c r="AM44" i="10"/>
  <c r="AO44" i="10" s="1"/>
  <c r="AB125" i="12"/>
  <c r="AE125" i="12" s="1"/>
  <c r="Y125" i="12"/>
  <c r="Z125" i="12" s="1"/>
  <c r="AC125" i="12" s="1"/>
  <c r="AF125" i="12" s="1"/>
  <c r="W126" i="12"/>
  <c r="X126" i="12"/>
  <c r="AH40" i="11"/>
  <c r="AI40" i="11" s="1"/>
  <c r="AJ102" i="12"/>
  <c r="AL102" i="12"/>
  <c r="AK102" i="12"/>
  <c r="X47" i="11"/>
  <c r="W47" i="11"/>
  <c r="AJ116" i="12"/>
  <c r="AL116" i="12"/>
  <c r="AK116" i="12"/>
  <c r="AL42" i="12"/>
  <c r="AJ42" i="12"/>
  <c r="AM42" i="12" s="1"/>
  <c r="AO42" i="12" s="1"/>
  <c r="AH106" i="12"/>
  <c r="AI106" i="12" s="1"/>
  <c r="AM107" i="12"/>
  <c r="V106" i="10"/>
  <c r="W106" i="10" s="1"/>
  <c r="AB106" i="10" s="1"/>
  <c r="AE106" i="10" s="1"/>
  <c r="AM156" i="2"/>
  <c r="AO156" i="2" s="1"/>
  <c r="AH31" i="2"/>
  <c r="AI31" i="2" s="1"/>
  <c r="W30" i="2"/>
  <c r="X30" i="2"/>
  <c r="AH128" i="12"/>
  <c r="AI128" i="12" s="1"/>
  <c r="AK128" i="12" s="1"/>
  <c r="AH105" i="10"/>
  <c r="AI105" i="10" s="1"/>
  <c r="AJ105" i="10" s="1"/>
  <c r="AA107" i="10"/>
  <c r="AD107" i="10" s="1"/>
  <c r="AG107" i="10" s="1"/>
  <c r="AH104" i="10"/>
  <c r="AI104" i="10" s="1"/>
  <c r="AK104" i="10" s="1"/>
  <c r="AK105" i="10"/>
  <c r="W107" i="10"/>
  <c r="X107" i="10"/>
  <c r="X106" i="10"/>
  <c r="Z130" i="12"/>
  <c r="AC130" i="12" s="1"/>
  <c r="AF130" i="12" s="1"/>
  <c r="AH130" i="12" s="1"/>
  <c r="AI130" i="12" s="1"/>
  <c r="AA131" i="12"/>
  <c r="AD131" i="12" s="1"/>
  <c r="AG131" i="12" s="1"/>
  <c r="AL128" i="12"/>
  <c r="U132" i="12"/>
  <c r="P138" i="12"/>
  <c r="O139" i="12"/>
  <c r="K137" i="12"/>
  <c r="L137" i="12" s="1"/>
  <c r="M137" i="12" s="1"/>
  <c r="N137" i="12" s="1"/>
  <c r="L136" i="12"/>
  <c r="M136" i="12" s="1"/>
  <c r="N136" i="12" s="1"/>
  <c r="Q133" i="12"/>
  <c r="R133" i="12" s="1"/>
  <c r="S133" i="12" s="1"/>
  <c r="T133" i="12" s="1"/>
  <c r="W131" i="12"/>
  <c r="L144" i="12"/>
  <c r="M144" i="12" s="1"/>
  <c r="N144" i="12" s="1"/>
  <c r="K145" i="12"/>
  <c r="P134" i="12"/>
  <c r="Q134" i="12" s="1"/>
  <c r="O143" i="12"/>
  <c r="AH129" i="12"/>
  <c r="AI129" i="12" s="1"/>
  <c r="O135" i="12"/>
  <c r="L140" i="12"/>
  <c r="M140" i="12" s="1"/>
  <c r="N140" i="12" s="1"/>
  <c r="K141" i="12"/>
  <c r="AM101" i="11"/>
  <c r="X105" i="11"/>
  <c r="Y105" i="11"/>
  <c r="AB105" i="11"/>
  <c r="AE105" i="11" s="1"/>
  <c r="U106" i="11"/>
  <c r="AB103" i="11"/>
  <c r="AE103" i="11" s="1"/>
  <c r="Y103" i="11"/>
  <c r="Z103" i="11" s="1"/>
  <c r="AC103" i="11" s="1"/>
  <c r="AF103" i="11" s="1"/>
  <c r="O109" i="11"/>
  <c r="O113" i="11"/>
  <c r="L114" i="11"/>
  <c r="M114" i="11" s="1"/>
  <c r="N114" i="11" s="1"/>
  <c r="K115" i="11"/>
  <c r="L110" i="11"/>
  <c r="M110" i="11" s="1"/>
  <c r="N110" i="11" s="1"/>
  <c r="K111" i="11"/>
  <c r="L118" i="11"/>
  <c r="M118" i="11" s="1"/>
  <c r="N118" i="11" s="1"/>
  <c r="K119" i="11"/>
  <c r="Q107" i="11"/>
  <c r="R107" i="11" s="1"/>
  <c r="S107" i="11" s="1"/>
  <c r="T107" i="11" s="1"/>
  <c r="X104" i="11"/>
  <c r="W104" i="11"/>
  <c r="P108" i="11"/>
  <c r="Q108" i="11" s="1"/>
  <c r="AA105" i="11"/>
  <c r="AD105" i="11" s="1"/>
  <c r="AG105" i="11" s="1"/>
  <c r="U166" i="2"/>
  <c r="AA166" i="2" s="1"/>
  <c r="AD166" i="2" s="1"/>
  <c r="AG166" i="2" s="1"/>
  <c r="AB32" i="2"/>
  <c r="AE32" i="2" s="1"/>
  <c r="Y32" i="2"/>
  <c r="AC32" i="2"/>
  <c r="AF32" i="2" s="1"/>
  <c r="Z32" i="2"/>
  <c r="X32" i="2"/>
  <c r="W32" i="2"/>
  <c r="AD32" i="2"/>
  <c r="AG32" i="2" s="1"/>
  <c r="AA32" i="2"/>
  <c r="V32" i="2"/>
  <c r="AH67" i="2"/>
  <c r="AI67" i="2" s="1"/>
  <c r="X78" i="2"/>
  <c r="W78" i="2"/>
  <c r="AJ51" i="2"/>
  <c r="AL51" i="2"/>
  <c r="AL79" i="2"/>
  <c r="AJ79" i="2"/>
  <c r="AM79" i="2" s="1"/>
  <c r="AL61" i="2"/>
  <c r="AJ61" i="2"/>
  <c r="AM61" i="2" s="1"/>
  <c r="AA161" i="2"/>
  <c r="AD161" i="2" s="1"/>
  <c r="AG161" i="2" s="1"/>
  <c r="AL77" i="2"/>
  <c r="AJ77" i="2"/>
  <c r="AM77" i="2" s="1"/>
  <c r="AJ98" i="2"/>
  <c r="AM98" i="2" s="1"/>
  <c r="AL98" i="2"/>
  <c r="AB29" i="2"/>
  <c r="AE29" i="2" s="1"/>
  <c r="Y29" i="2"/>
  <c r="Z29" i="2" s="1"/>
  <c r="AC29" i="2" s="1"/>
  <c r="AF29" i="2" s="1"/>
  <c r="AJ170" i="2"/>
  <c r="AL170" i="2"/>
  <c r="AH53" i="2"/>
  <c r="AI53" i="2" s="1"/>
  <c r="AJ28" i="2"/>
  <c r="AL28" i="2"/>
  <c r="AK28" i="2"/>
  <c r="AB161" i="2"/>
  <c r="AE161" i="2" s="1"/>
  <c r="AJ31" i="2"/>
  <c r="AL31" i="2"/>
  <c r="AB99" i="2"/>
  <c r="AE99" i="2" s="1"/>
  <c r="Z99" i="2"/>
  <c r="Y99" i="2"/>
  <c r="AD99" i="2"/>
  <c r="AG99" i="2" s="1"/>
  <c r="V99" i="2"/>
  <c r="AC99" i="2"/>
  <c r="AF99" i="2" s="1"/>
  <c r="W99" i="2"/>
  <c r="X99" i="2"/>
  <c r="AA99" i="2"/>
  <c r="O193" i="2"/>
  <c r="AB87" i="2"/>
  <c r="AE87" i="2" s="1"/>
  <c r="Z87" i="2"/>
  <c r="AD87" i="2"/>
  <c r="AG87" i="2" s="1"/>
  <c r="Y87" i="2"/>
  <c r="AC87" i="2"/>
  <c r="AF87" i="2" s="1"/>
  <c r="W87" i="2"/>
  <c r="V87" i="2"/>
  <c r="AA87" i="2"/>
  <c r="X87" i="2"/>
  <c r="AH62" i="2"/>
  <c r="AI62" i="2" s="1"/>
  <c r="AH52" i="2"/>
  <c r="AI52" i="2" s="1"/>
  <c r="AH57" i="2"/>
  <c r="AI57" i="2" s="1"/>
  <c r="AH82" i="2"/>
  <c r="AI82" i="2" s="1"/>
  <c r="Y54" i="2"/>
  <c r="Z54" i="2" s="1"/>
  <c r="AC54" i="2" s="1"/>
  <c r="AF54" i="2" s="1"/>
  <c r="AB54" i="2"/>
  <c r="AE54" i="2" s="1"/>
  <c r="X161" i="2"/>
  <c r="Z161" i="2" s="1"/>
  <c r="AC161" i="2" s="1"/>
  <c r="AF161" i="2" s="1"/>
  <c r="O113" i="10"/>
  <c r="P108" i="10"/>
  <c r="Q108" i="10" s="1"/>
  <c r="K111" i="10"/>
  <c r="L110" i="10"/>
  <c r="M110" i="10" s="1"/>
  <c r="N110" i="10" s="1"/>
  <c r="L114" i="10"/>
  <c r="M114" i="10" s="1"/>
  <c r="N114" i="10" s="1"/>
  <c r="K115" i="10"/>
  <c r="O109" i="10"/>
  <c r="L118" i="10"/>
  <c r="M118" i="10" s="1"/>
  <c r="N118" i="10" s="1"/>
  <c r="K119" i="10"/>
  <c r="AB103" i="10"/>
  <c r="AE103" i="10" s="1"/>
  <c r="Y103" i="10"/>
  <c r="Z103" i="10" s="1"/>
  <c r="AC103" i="10" s="1"/>
  <c r="AF103" i="10" s="1"/>
  <c r="AL23" i="2"/>
  <c r="AJ23" i="2"/>
  <c r="AK23" i="2"/>
  <c r="AL24" i="2"/>
  <c r="AK24" i="2"/>
  <c r="AJ24" i="2"/>
  <c r="AM24" i="2" s="1"/>
  <c r="AO24" i="2" s="1"/>
  <c r="AL25" i="2"/>
  <c r="AJ25" i="2"/>
  <c r="AM25" i="2" s="1"/>
  <c r="AO25" i="2" s="1"/>
  <c r="AI26" i="2"/>
  <c r="AI27" i="2"/>
  <c r="AM51" i="2"/>
  <c r="AM56" i="2"/>
  <c r="AM55" i="2"/>
  <c r="AM170" i="2"/>
  <c r="AO170" i="2" s="1"/>
  <c r="S100" i="2"/>
  <c r="T100" i="2" s="1"/>
  <c r="Q172" i="2"/>
  <c r="R172" i="2" s="1"/>
  <c r="R162" i="2"/>
  <c r="S162" i="2" s="1"/>
  <c r="T162" i="2" s="1"/>
  <c r="Q33" i="2"/>
  <c r="S163" i="2"/>
  <c r="T163" i="2" s="1"/>
  <c r="S186" i="2"/>
  <c r="T186" i="2" s="1"/>
  <c r="S171" i="2"/>
  <c r="T171" i="2" s="1"/>
  <c r="S191" i="2"/>
  <c r="T191" i="2" s="1"/>
  <c r="K195" i="2"/>
  <c r="L195" i="2" s="1"/>
  <c r="M195" i="2" s="1"/>
  <c r="L194" i="2"/>
  <c r="M194" i="2" s="1"/>
  <c r="O197" i="2"/>
  <c r="I104" i="2"/>
  <c r="J103" i="2"/>
  <c r="K85" i="2"/>
  <c r="L84" i="2"/>
  <c r="M84" i="2" s="1"/>
  <c r="N84" i="2" s="1"/>
  <c r="O173" i="2"/>
  <c r="P196" i="2"/>
  <c r="Q196" i="2" s="1"/>
  <c r="R100" i="2"/>
  <c r="K69" i="2"/>
  <c r="L68" i="2"/>
  <c r="M68" i="2" s="1"/>
  <c r="N68" i="2" s="1"/>
  <c r="O59" i="2"/>
  <c r="K199" i="2"/>
  <c r="L198" i="2"/>
  <c r="M198" i="2" s="1"/>
  <c r="N198" i="2" s="1"/>
  <c r="O169" i="2"/>
  <c r="P101" i="2"/>
  <c r="Q101" i="2"/>
  <c r="O83" i="2"/>
  <c r="K175" i="2"/>
  <c r="L175" i="2" s="1"/>
  <c r="M175" i="2" s="1"/>
  <c r="N175" i="2" s="1"/>
  <c r="L174" i="2"/>
  <c r="M174" i="2" s="1"/>
  <c r="N174" i="2" s="1"/>
  <c r="K65" i="2"/>
  <c r="L64" i="2"/>
  <c r="M64" i="2" s="1"/>
  <c r="N64" i="2" s="1"/>
  <c r="P58" i="2"/>
  <c r="K61" i="2"/>
  <c r="L60" i="2"/>
  <c r="M60" i="2" s="1"/>
  <c r="N60" i="2" s="1"/>
  <c r="P192" i="2"/>
  <c r="Q192" i="2" s="1"/>
  <c r="O63" i="2"/>
  <c r="P193" i="2"/>
  <c r="Q193" i="2" s="1"/>
  <c r="R168" i="2"/>
  <c r="O102" i="2"/>
  <c r="U102" i="2" s="1"/>
  <c r="Q187" i="2"/>
  <c r="R187" i="2" s="1"/>
  <c r="Q167" i="2"/>
  <c r="L88" i="2"/>
  <c r="M88" i="2" s="1"/>
  <c r="N88" i="2" s="1"/>
  <c r="K93" i="2"/>
  <c r="K89" i="2"/>
  <c r="P34" i="2"/>
  <c r="O39" i="2"/>
  <c r="O35" i="2"/>
  <c r="I41" i="2"/>
  <c r="J40" i="2"/>
  <c r="N40" i="2" s="1"/>
  <c r="O43" i="2"/>
  <c r="I37" i="2"/>
  <c r="J37" i="2" s="1"/>
  <c r="N37" i="2" s="1"/>
  <c r="AK37" i="2" s="1"/>
  <c r="J36" i="2"/>
  <c r="N36" i="2" s="1"/>
  <c r="I45" i="2"/>
  <c r="J44" i="2"/>
  <c r="N44" i="2" s="1"/>
  <c r="P38" i="2"/>
  <c r="AH125" i="12" l="1"/>
  <c r="AI125" i="12" s="1"/>
  <c r="AM28" i="2"/>
  <c r="AO28" i="2" s="1"/>
  <c r="AH46" i="12"/>
  <c r="AI46" i="12" s="1"/>
  <c r="AM116" i="12"/>
  <c r="AM45" i="10"/>
  <c r="AO45" i="10" s="1"/>
  <c r="AJ128" i="12"/>
  <c r="AH36" i="10"/>
  <c r="AI36" i="10" s="1"/>
  <c r="AM46" i="10"/>
  <c r="AO46" i="10" s="1"/>
  <c r="AH99" i="2"/>
  <c r="AI99" i="2" s="1"/>
  <c r="AB47" i="11"/>
  <c r="AE47" i="11" s="1"/>
  <c r="Y47" i="11"/>
  <c r="Z47" i="11" s="1"/>
  <c r="AC47" i="11" s="1"/>
  <c r="AF47" i="11" s="1"/>
  <c r="AM102" i="12"/>
  <c r="Y126" i="12"/>
  <c r="Z126" i="12" s="1"/>
  <c r="AC126" i="12" s="1"/>
  <c r="AF126" i="12" s="1"/>
  <c r="AB126" i="12"/>
  <c r="AE126" i="12" s="1"/>
  <c r="AN55" i="12"/>
  <c r="AO55" i="12" s="1"/>
  <c r="AN65" i="12"/>
  <c r="AO65" i="12" s="1"/>
  <c r="AN70" i="12"/>
  <c r="AO70" i="12" s="1"/>
  <c r="AN60" i="12"/>
  <c r="AO60" i="12" s="1"/>
  <c r="AN50" i="12"/>
  <c r="AO50" i="12" s="1"/>
  <c r="X42" i="10"/>
  <c r="W42" i="10"/>
  <c r="AJ101" i="12"/>
  <c r="AL101" i="12"/>
  <c r="AK101" i="12"/>
  <c r="AM35" i="10"/>
  <c r="AO35" i="10" s="1"/>
  <c r="Y47" i="12"/>
  <c r="Z47" i="12" s="1"/>
  <c r="AC47" i="12" s="1"/>
  <c r="AF47" i="12" s="1"/>
  <c r="AB47" i="12"/>
  <c r="AE47" i="12" s="1"/>
  <c r="AJ106" i="12"/>
  <c r="AL106" i="12"/>
  <c r="AK106" i="12"/>
  <c r="AL40" i="11"/>
  <c r="AJ40" i="11"/>
  <c r="AM40" i="11" s="1"/>
  <c r="AO40" i="11" s="1"/>
  <c r="AK40" i="11"/>
  <c r="AJ39" i="11"/>
  <c r="AL39" i="11"/>
  <c r="AK39" i="11"/>
  <c r="Y41" i="12"/>
  <c r="Z41" i="12" s="1"/>
  <c r="AC41" i="12" s="1"/>
  <c r="AF41" i="12" s="1"/>
  <c r="AB41" i="12"/>
  <c r="AE41" i="12" s="1"/>
  <c r="AH41" i="12" s="1"/>
  <c r="AI41" i="12" s="1"/>
  <c r="AH37" i="10"/>
  <c r="AI37" i="10" s="1"/>
  <c r="AL125" i="12"/>
  <c r="AK125" i="12"/>
  <c r="AJ125" i="12"/>
  <c r="AB41" i="11"/>
  <c r="AE41" i="11" s="1"/>
  <c r="Y41" i="11"/>
  <c r="Z41" i="11" s="1"/>
  <c r="AC41" i="11" s="1"/>
  <c r="AF41" i="11" s="1"/>
  <c r="X47" i="10"/>
  <c r="W47" i="10"/>
  <c r="AJ46" i="12"/>
  <c r="AM46" i="12" s="1"/>
  <c r="AO46" i="12" s="1"/>
  <c r="AL46" i="12"/>
  <c r="AK46" i="12"/>
  <c r="AN69" i="10"/>
  <c r="AO69" i="10" s="1"/>
  <c r="AN49" i="10"/>
  <c r="AO49" i="10" s="1"/>
  <c r="AN64" i="10"/>
  <c r="AO64" i="10" s="1"/>
  <c r="AN59" i="10"/>
  <c r="AO59" i="10" s="1"/>
  <c r="AN54" i="10"/>
  <c r="AO54" i="10" s="1"/>
  <c r="AJ104" i="10"/>
  <c r="AL104" i="10"/>
  <c r="AL105" i="10"/>
  <c r="AM105" i="10" s="1"/>
  <c r="Y106" i="10"/>
  <c r="Z106" i="10" s="1"/>
  <c r="AC106" i="10" s="1"/>
  <c r="AF106" i="10" s="1"/>
  <c r="AH106" i="10" s="1"/>
  <c r="AI106" i="10" s="1"/>
  <c r="AH29" i="2"/>
  <c r="AI29" i="2" s="1"/>
  <c r="Y30" i="2"/>
  <c r="Z30" i="2" s="1"/>
  <c r="AC30" i="2" s="1"/>
  <c r="AF30" i="2" s="1"/>
  <c r="AB30" i="2"/>
  <c r="AE30" i="2" s="1"/>
  <c r="AM23" i="2"/>
  <c r="AO23" i="2" s="1"/>
  <c r="AB107" i="10"/>
  <c r="AE107" i="10" s="1"/>
  <c r="Y107" i="10"/>
  <c r="Z107" i="10" s="1"/>
  <c r="AC107" i="10" s="1"/>
  <c r="AF107" i="10" s="1"/>
  <c r="O110" i="10"/>
  <c r="P110" i="10" s="1"/>
  <c r="Z105" i="11"/>
  <c r="AC105" i="11" s="1"/>
  <c r="AF105" i="11" s="1"/>
  <c r="AH105" i="11" s="1"/>
  <c r="AI105" i="11" s="1"/>
  <c r="AK130" i="12"/>
  <c r="AJ130" i="12"/>
  <c r="AM128" i="12"/>
  <c r="AL130" i="12"/>
  <c r="U133" i="12"/>
  <c r="AA133" i="12" s="1"/>
  <c r="AD133" i="12" s="1"/>
  <c r="AG133" i="12" s="1"/>
  <c r="P135" i="12"/>
  <c r="Q135" i="12" s="1"/>
  <c r="Y131" i="12"/>
  <c r="Z131" i="12" s="1"/>
  <c r="AC131" i="12" s="1"/>
  <c r="AF131" i="12" s="1"/>
  <c r="AB131" i="12"/>
  <c r="AE131" i="12" s="1"/>
  <c r="O137" i="12"/>
  <c r="P139" i="12"/>
  <c r="Q139" i="12" s="1"/>
  <c r="R134" i="12"/>
  <c r="S134" i="12" s="1"/>
  <c r="T134" i="12" s="1"/>
  <c r="K142" i="12"/>
  <c r="L142" i="12" s="1"/>
  <c r="M142" i="12" s="1"/>
  <c r="N142" i="12" s="1"/>
  <c r="L141" i="12"/>
  <c r="M141" i="12" s="1"/>
  <c r="N141" i="12" s="1"/>
  <c r="AJ129" i="12"/>
  <c r="AL129" i="12"/>
  <c r="AK129" i="12"/>
  <c r="L145" i="12"/>
  <c r="M145" i="12" s="1"/>
  <c r="N145" i="12" s="1"/>
  <c r="K146" i="12"/>
  <c r="O136" i="12"/>
  <c r="O140" i="12"/>
  <c r="P143" i="12"/>
  <c r="Q143" i="12" s="1"/>
  <c r="O144" i="12"/>
  <c r="Q138" i="12"/>
  <c r="R138" i="12" s="1"/>
  <c r="S138" i="12" s="1"/>
  <c r="T138" i="12" s="1"/>
  <c r="V132" i="12"/>
  <c r="AA132" i="12"/>
  <c r="AD132" i="12" s="1"/>
  <c r="AG132" i="12" s="1"/>
  <c r="U107" i="11"/>
  <c r="O114" i="11"/>
  <c r="L119" i="11"/>
  <c r="M119" i="11" s="1"/>
  <c r="N119" i="11" s="1"/>
  <c r="K120" i="11"/>
  <c r="L115" i="11"/>
  <c r="M115" i="11" s="1"/>
  <c r="N115" i="11" s="1"/>
  <c r="K116" i="11"/>
  <c r="P113" i="11"/>
  <c r="AB104" i="11"/>
  <c r="AE104" i="11" s="1"/>
  <c r="Y104" i="11"/>
  <c r="Z104" i="11" s="1"/>
  <c r="AC104" i="11" s="1"/>
  <c r="AF104" i="11" s="1"/>
  <c r="O118" i="11"/>
  <c r="AH103" i="11"/>
  <c r="AI103" i="11" s="1"/>
  <c r="K112" i="11"/>
  <c r="L111" i="11"/>
  <c r="M111" i="11" s="1"/>
  <c r="N111" i="11" s="1"/>
  <c r="AA106" i="11"/>
  <c r="AD106" i="11" s="1"/>
  <c r="AG106" i="11" s="1"/>
  <c r="R108" i="11"/>
  <c r="S108" i="11" s="1"/>
  <c r="T108" i="11" s="1"/>
  <c r="O110" i="11"/>
  <c r="P109" i="11"/>
  <c r="V106" i="11"/>
  <c r="O174" i="2"/>
  <c r="U163" i="2"/>
  <c r="AL53" i="2"/>
  <c r="AJ53" i="2"/>
  <c r="AK53" i="2"/>
  <c r="O68" i="2"/>
  <c r="U191" i="2"/>
  <c r="AA191" i="2" s="1"/>
  <c r="AD191" i="2" s="1"/>
  <c r="AG191" i="2" s="1"/>
  <c r="AH54" i="2"/>
  <c r="AI54" i="2" s="1"/>
  <c r="AJ52" i="2"/>
  <c r="AM52" i="2" s="1"/>
  <c r="AL52" i="2"/>
  <c r="AL99" i="2"/>
  <c r="AJ99" i="2"/>
  <c r="AM99" i="2" s="1"/>
  <c r="AB78" i="2"/>
  <c r="AE78" i="2" s="1"/>
  <c r="Y78" i="2"/>
  <c r="Z78" i="2" s="1"/>
  <c r="AC78" i="2" s="1"/>
  <c r="AF78" i="2" s="1"/>
  <c r="O84" i="2"/>
  <c r="U171" i="2"/>
  <c r="AA171" i="2" s="1"/>
  <c r="AD171" i="2" s="1"/>
  <c r="AG171" i="2" s="1"/>
  <c r="U162" i="2"/>
  <c r="AA162" i="2" s="1"/>
  <c r="AD162" i="2" s="1"/>
  <c r="AG162" i="2" s="1"/>
  <c r="AJ62" i="2"/>
  <c r="AL62" i="2"/>
  <c r="AJ67" i="2"/>
  <c r="AL67" i="2"/>
  <c r="AH32" i="2"/>
  <c r="AI32" i="2" s="1"/>
  <c r="V166" i="2"/>
  <c r="AB100" i="2"/>
  <c r="AE100" i="2" s="1"/>
  <c r="AC100" i="2"/>
  <c r="AF100" i="2" s="1"/>
  <c r="Y100" i="2"/>
  <c r="Z100" i="2"/>
  <c r="AD100" i="2"/>
  <c r="AG100" i="2" s="1"/>
  <c r="X100" i="2"/>
  <c r="W100" i="2"/>
  <c r="V100" i="2"/>
  <c r="AA100" i="2"/>
  <c r="AL57" i="2"/>
  <c r="AJ57" i="2"/>
  <c r="AM57" i="2" s="1"/>
  <c r="AL29" i="2"/>
  <c r="AJ29" i="2"/>
  <c r="AK29" i="2"/>
  <c r="U186" i="2"/>
  <c r="V186" i="2" s="1"/>
  <c r="AJ82" i="2"/>
  <c r="AL82" i="2"/>
  <c r="AH87" i="2"/>
  <c r="AI87" i="2" s="1"/>
  <c r="AH161" i="2"/>
  <c r="AI161" i="2" s="1"/>
  <c r="P109" i="10"/>
  <c r="AH103" i="10"/>
  <c r="AI103" i="10" s="1"/>
  <c r="K112" i="10"/>
  <c r="L111" i="10"/>
  <c r="M111" i="10" s="1"/>
  <c r="N111" i="10" s="1"/>
  <c r="O111" i="10" s="1"/>
  <c r="P111" i="10" s="1"/>
  <c r="P113" i="10"/>
  <c r="Q113" i="10" s="1"/>
  <c r="O118" i="10"/>
  <c r="O114" i="10"/>
  <c r="L119" i="10"/>
  <c r="M119" i="10" s="1"/>
  <c r="N119" i="10" s="1"/>
  <c r="K120" i="10"/>
  <c r="K116" i="10"/>
  <c r="L115" i="10"/>
  <c r="M115" i="10" s="1"/>
  <c r="N115" i="10" s="1"/>
  <c r="R108" i="10"/>
  <c r="S108" i="10" s="1"/>
  <c r="T108" i="10" s="1"/>
  <c r="AL27" i="2"/>
  <c r="AJ27" i="2"/>
  <c r="AM27" i="2" s="1"/>
  <c r="AO27" i="2" s="1"/>
  <c r="AL26" i="2"/>
  <c r="AJ26" i="2"/>
  <c r="AM26" i="2" s="1"/>
  <c r="AO26" i="2" s="1"/>
  <c r="AM62" i="2"/>
  <c r="AM67" i="2"/>
  <c r="AM82" i="2"/>
  <c r="AM31" i="2"/>
  <c r="AO31" i="2" s="1"/>
  <c r="AM181" i="2"/>
  <c r="AO181" i="2" s="1"/>
  <c r="AM157" i="2"/>
  <c r="AO157" i="2" s="1"/>
  <c r="AP156" i="2" s="1"/>
  <c r="AN182" i="2" s="1"/>
  <c r="AO182" i="2" s="1"/>
  <c r="R33" i="2"/>
  <c r="S33" i="2" s="1"/>
  <c r="T33" i="2" s="1"/>
  <c r="S101" i="2"/>
  <c r="T101" i="2" s="1"/>
  <c r="S168" i="2"/>
  <c r="T168" i="2" s="1"/>
  <c r="S172" i="2"/>
  <c r="T172" i="2" s="1"/>
  <c r="Q38" i="2"/>
  <c r="R38" i="2" s="1"/>
  <c r="S187" i="2"/>
  <c r="T187" i="2" s="1"/>
  <c r="Q34" i="2"/>
  <c r="R34" i="2" s="1"/>
  <c r="S34" i="2" s="1"/>
  <c r="T34" i="2" s="1"/>
  <c r="Q58" i="2"/>
  <c r="R58" i="2" s="1"/>
  <c r="S58" i="2" s="1"/>
  <c r="T58" i="2" s="1"/>
  <c r="P102" i="2"/>
  <c r="Q102" i="2"/>
  <c r="O60" i="2"/>
  <c r="O175" i="2"/>
  <c r="P83" i="2"/>
  <c r="K86" i="2"/>
  <c r="L85" i="2"/>
  <c r="M85" i="2" s="1"/>
  <c r="R167" i="2"/>
  <c r="S167" i="2" s="1"/>
  <c r="T167" i="2" s="1"/>
  <c r="P197" i="2"/>
  <c r="Q197" i="2" s="1"/>
  <c r="K90" i="2"/>
  <c r="L89" i="2"/>
  <c r="M89" i="2" s="1"/>
  <c r="N89" i="2" s="1"/>
  <c r="P63" i="2"/>
  <c r="K62" i="2"/>
  <c r="L62" i="2" s="1"/>
  <c r="M62" i="2" s="1"/>
  <c r="L61" i="2"/>
  <c r="M61" i="2" s="1"/>
  <c r="K66" i="2"/>
  <c r="L65" i="2"/>
  <c r="M65" i="2" s="1"/>
  <c r="N65" i="2" s="1"/>
  <c r="P169" i="2"/>
  <c r="Q169" i="2" s="1"/>
  <c r="P68" i="2"/>
  <c r="R196" i="2"/>
  <c r="O64" i="2"/>
  <c r="K94" i="2"/>
  <c r="L93" i="2"/>
  <c r="M93" i="2" s="1"/>
  <c r="N93" i="2" s="1"/>
  <c r="R193" i="2"/>
  <c r="R192" i="2"/>
  <c r="R101" i="2"/>
  <c r="O198" i="2"/>
  <c r="P59" i="2"/>
  <c r="K70" i="2"/>
  <c r="L69" i="2"/>
  <c r="M69" i="2" s="1"/>
  <c r="N69" i="2" s="1"/>
  <c r="I105" i="2"/>
  <c r="J104" i="2"/>
  <c r="N104" i="2" s="1"/>
  <c r="O88" i="2"/>
  <c r="P174" i="2"/>
  <c r="K200" i="2"/>
  <c r="L200" i="2" s="1"/>
  <c r="M200" i="2" s="1"/>
  <c r="L199" i="2"/>
  <c r="M199" i="2" s="1"/>
  <c r="N199" i="2" s="1"/>
  <c r="P173" i="2"/>
  <c r="Q173" i="2" s="1"/>
  <c r="P84" i="2"/>
  <c r="O36" i="2"/>
  <c r="I42" i="2"/>
  <c r="J42" i="2" s="1"/>
  <c r="N42" i="2" s="1"/>
  <c r="J41" i="2"/>
  <c r="N41" i="2" s="1"/>
  <c r="P39" i="2"/>
  <c r="O37" i="2"/>
  <c r="U37" i="2" s="1"/>
  <c r="O44" i="2"/>
  <c r="P35" i="2"/>
  <c r="I46" i="2"/>
  <c r="J45" i="2"/>
  <c r="N45" i="2" s="1"/>
  <c r="P43" i="2"/>
  <c r="O40" i="2"/>
  <c r="AM39" i="11" l="1"/>
  <c r="AO39" i="11" s="1"/>
  <c r="AM101" i="12"/>
  <c r="AH47" i="11"/>
  <c r="AI47" i="11" s="1"/>
  <c r="AM53" i="2"/>
  <c r="AH41" i="11"/>
  <c r="AI41" i="11" s="1"/>
  <c r="AM106" i="12"/>
  <c r="Y47" i="10"/>
  <c r="Z47" i="10" s="1"/>
  <c r="AC47" i="10" s="1"/>
  <c r="AF47" i="10" s="1"/>
  <c r="AB47" i="10"/>
  <c r="AE47" i="10" s="1"/>
  <c r="AM125" i="12"/>
  <c r="AL37" i="10"/>
  <c r="AJ37" i="10"/>
  <c r="AM37" i="10" s="1"/>
  <c r="AO37" i="10" s="1"/>
  <c r="AK37" i="10"/>
  <c r="AH47" i="12"/>
  <c r="AI47" i="12" s="1"/>
  <c r="AM130" i="12"/>
  <c r="AL41" i="12"/>
  <c r="AJ41" i="12"/>
  <c r="AM41" i="12" s="1"/>
  <c r="AO41" i="12" s="1"/>
  <c r="AP38" i="12" s="1"/>
  <c r="AK41" i="12"/>
  <c r="AJ47" i="11"/>
  <c r="AM47" i="11" s="1"/>
  <c r="AO47" i="11" s="1"/>
  <c r="AP43" i="11" s="1"/>
  <c r="AL47" i="11"/>
  <c r="AK47" i="11"/>
  <c r="AJ36" i="10"/>
  <c r="AM36" i="10" s="1"/>
  <c r="AO36" i="10" s="1"/>
  <c r="AL36" i="10"/>
  <c r="AK36" i="10"/>
  <c r="AH100" i="2"/>
  <c r="AI100" i="2" s="1"/>
  <c r="AJ100" i="2" s="1"/>
  <c r="AM104" i="10"/>
  <c r="AB42" i="10"/>
  <c r="AE42" i="10" s="1"/>
  <c r="Y42" i="10"/>
  <c r="Z42" i="10" s="1"/>
  <c r="AC42" i="10" s="1"/>
  <c r="AF42" i="10" s="1"/>
  <c r="AH126" i="12"/>
  <c r="AI126" i="12" s="1"/>
  <c r="AL106" i="10"/>
  <c r="AK106" i="10"/>
  <c r="AJ106" i="10"/>
  <c r="AM106" i="10" s="1"/>
  <c r="AO106" i="10" s="1"/>
  <c r="AH107" i="10"/>
  <c r="AI107" i="10" s="1"/>
  <c r="AL107" i="10" s="1"/>
  <c r="AH30" i="2"/>
  <c r="AI30" i="2" s="1"/>
  <c r="Q111" i="10"/>
  <c r="R111" i="10" s="1"/>
  <c r="S111" i="10" s="1"/>
  <c r="T111" i="10" s="1"/>
  <c r="Q110" i="10"/>
  <c r="R110" i="10" s="1"/>
  <c r="S110" i="10" s="1"/>
  <c r="T110" i="10" s="1"/>
  <c r="AK107" i="10"/>
  <c r="AH131" i="12"/>
  <c r="AI131" i="12" s="1"/>
  <c r="AK131" i="12" s="1"/>
  <c r="U138" i="12"/>
  <c r="V138" i="12" s="1"/>
  <c r="X138" i="12" s="1"/>
  <c r="U134" i="12"/>
  <c r="V134" i="12" s="1"/>
  <c r="P137" i="12"/>
  <c r="O145" i="12"/>
  <c r="R143" i="12"/>
  <c r="S143" i="12" s="1"/>
  <c r="T143" i="12" s="1"/>
  <c r="R139" i="12"/>
  <c r="S139" i="12" s="1"/>
  <c r="T139" i="12" s="1"/>
  <c r="V133" i="12"/>
  <c r="K147" i="12"/>
  <c r="L147" i="12" s="1"/>
  <c r="M147" i="12" s="1"/>
  <c r="N147" i="12" s="1"/>
  <c r="L146" i="12"/>
  <c r="M146" i="12" s="1"/>
  <c r="N146" i="12" s="1"/>
  <c r="P136" i="12"/>
  <c r="AM129" i="12"/>
  <c r="AL131" i="12"/>
  <c r="P144" i="12"/>
  <c r="Q144" i="12" s="1"/>
  <c r="O141" i="12"/>
  <c r="X132" i="12"/>
  <c r="W132" i="12"/>
  <c r="P140" i="12"/>
  <c r="Q140" i="12" s="1"/>
  <c r="O142" i="12"/>
  <c r="R135" i="12"/>
  <c r="S135" i="12" s="1"/>
  <c r="T135" i="12" s="1"/>
  <c r="U108" i="11"/>
  <c r="AA108" i="11" s="1"/>
  <c r="AD108" i="11" s="1"/>
  <c r="AG108" i="11" s="1"/>
  <c r="AJ103" i="11"/>
  <c r="AL103" i="11"/>
  <c r="AK103" i="11"/>
  <c r="K117" i="11"/>
  <c r="L117" i="11" s="1"/>
  <c r="M117" i="11" s="1"/>
  <c r="N117" i="11" s="1"/>
  <c r="L116" i="11"/>
  <c r="M116" i="11" s="1"/>
  <c r="N116" i="11" s="1"/>
  <c r="P114" i="11"/>
  <c r="Q114" i="11" s="1"/>
  <c r="K121" i="11"/>
  <c r="L120" i="11"/>
  <c r="M120" i="11" s="1"/>
  <c r="N120" i="11" s="1"/>
  <c r="AH104" i="11"/>
  <c r="AI104" i="11" s="1"/>
  <c r="O119" i="11"/>
  <c r="X106" i="11"/>
  <c r="W106" i="11"/>
  <c r="P110" i="11"/>
  <c r="Q110" i="11" s="1"/>
  <c r="Q109" i="11"/>
  <c r="R109" i="11" s="1"/>
  <c r="S109" i="11" s="1"/>
  <c r="T109" i="11" s="1"/>
  <c r="O111" i="11"/>
  <c r="P118" i="11"/>
  <c r="Q118" i="11" s="1"/>
  <c r="Q113" i="11"/>
  <c r="R113" i="11" s="1"/>
  <c r="S113" i="11" s="1"/>
  <c r="T113" i="11" s="1"/>
  <c r="O115" i="11"/>
  <c r="L112" i="11"/>
  <c r="M112" i="11" s="1"/>
  <c r="N112" i="11" s="1"/>
  <c r="K123" i="11"/>
  <c r="AJ105" i="11"/>
  <c r="AL105" i="11"/>
  <c r="AK105" i="11"/>
  <c r="V107" i="11"/>
  <c r="AA107" i="11"/>
  <c r="AD107" i="11" s="1"/>
  <c r="AG107" i="11" s="1"/>
  <c r="W186" i="2"/>
  <c r="X186" i="2"/>
  <c r="O104" i="2"/>
  <c r="U104" i="2" s="1"/>
  <c r="AK104" i="2"/>
  <c r="U58" i="2"/>
  <c r="AJ87" i="2"/>
  <c r="AM87" i="2" s="1"/>
  <c r="AL87" i="2"/>
  <c r="AL32" i="2"/>
  <c r="AJ32" i="2"/>
  <c r="U34" i="2"/>
  <c r="V34" i="2" s="1"/>
  <c r="U168" i="2"/>
  <c r="V171" i="2"/>
  <c r="O89" i="2"/>
  <c r="U172" i="2"/>
  <c r="U187" i="2"/>
  <c r="AA187" i="2" s="1"/>
  <c r="AD187" i="2" s="1"/>
  <c r="AG187" i="2" s="1"/>
  <c r="AA101" i="2"/>
  <c r="V101" i="2"/>
  <c r="X101" i="2"/>
  <c r="Z101" i="2"/>
  <c r="AC101" i="2"/>
  <c r="AF101" i="2" s="1"/>
  <c r="Y101" i="2"/>
  <c r="W101" i="2"/>
  <c r="AD101" i="2"/>
  <c r="AG101" i="2" s="1"/>
  <c r="AB101" i="2"/>
  <c r="AE101" i="2" s="1"/>
  <c r="AA186" i="2"/>
  <c r="AD186" i="2" s="1"/>
  <c r="AG186" i="2" s="1"/>
  <c r="AL100" i="2"/>
  <c r="AJ54" i="2"/>
  <c r="AL54" i="2"/>
  <c r="AK54" i="2"/>
  <c r="AA163" i="2"/>
  <c r="AD163" i="2" s="1"/>
  <c r="AG163" i="2" s="1"/>
  <c r="O199" i="2"/>
  <c r="U167" i="2"/>
  <c r="V167" i="2" s="1"/>
  <c r="U33" i="2"/>
  <c r="AP23" i="2"/>
  <c r="AN68" i="2" s="1"/>
  <c r="AJ161" i="2"/>
  <c r="AL161" i="2"/>
  <c r="AK161" i="2"/>
  <c r="X166" i="2"/>
  <c r="W166" i="2"/>
  <c r="V162" i="2"/>
  <c r="AH78" i="2"/>
  <c r="AI78" i="2" s="1"/>
  <c r="V191" i="2"/>
  <c r="V163" i="2"/>
  <c r="U108" i="10"/>
  <c r="K117" i="10"/>
  <c r="L117" i="10" s="1"/>
  <c r="M117" i="10" s="1"/>
  <c r="N117" i="10" s="1"/>
  <c r="O117" i="10" s="1"/>
  <c r="P117" i="10" s="1"/>
  <c r="L116" i="10"/>
  <c r="M116" i="10" s="1"/>
  <c r="N116" i="10" s="1"/>
  <c r="O116" i="10" s="1"/>
  <c r="P116" i="10" s="1"/>
  <c r="K121" i="10"/>
  <c r="L120" i="10"/>
  <c r="M120" i="10" s="1"/>
  <c r="N120" i="10" s="1"/>
  <c r="P118" i="10"/>
  <c r="Q118" i="10" s="1"/>
  <c r="O119" i="10"/>
  <c r="Q109" i="10"/>
  <c r="R109" i="10" s="1"/>
  <c r="S109" i="10" s="1"/>
  <c r="T109" i="10" s="1"/>
  <c r="AJ103" i="10"/>
  <c r="AL103" i="10"/>
  <c r="AK103" i="10"/>
  <c r="O115" i="10"/>
  <c r="P114" i="10"/>
  <c r="R113" i="10"/>
  <c r="S113" i="10" s="1"/>
  <c r="T113" i="10" s="1"/>
  <c r="L112" i="10"/>
  <c r="M112" i="10" s="1"/>
  <c r="N112" i="10" s="1"/>
  <c r="O112" i="10" s="1"/>
  <c r="P112" i="10" s="1"/>
  <c r="K123" i="10"/>
  <c r="AM32" i="2"/>
  <c r="AO32" i="2" s="1"/>
  <c r="AN197" i="2"/>
  <c r="AN192" i="2"/>
  <c r="AN177" i="2"/>
  <c r="AO177" i="2" s="1"/>
  <c r="AN187" i="2"/>
  <c r="Q84" i="2"/>
  <c r="R84" i="2" s="1"/>
  <c r="Q59" i="2"/>
  <c r="Q83" i="2"/>
  <c r="R83" i="2" s="1"/>
  <c r="S83" i="2" s="1"/>
  <c r="T83" i="2" s="1"/>
  <c r="S102" i="2"/>
  <c r="T102" i="2" s="1"/>
  <c r="Q43" i="2"/>
  <c r="R43" i="2" s="1"/>
  <c r="S43" i="2" s="1"/>
  <c r="T43" i="2" s="1"/>
  <c r="S196" i="2"/>
  <c r="T196" i="2" s="1"/>
  <c r="S192" i="2"/>
  <c r="T192" i="2" s="1"/>
  <c r="S193" i="2"/>
  <c r="T193" i="2" s="1"/>
  <c r="S38" i="2"/>
  <c r="T38" i="2" s="1"/>
  <c r="Q39" i="2"/>
  <c r="R39" i="2" s="1"/>
  <c r="Q35" i="2"/>
  <c r="R35" i="2" s="1"/>
  <c r="S35" i="2" s="1"/>
  <c r="T35" i="2" s="1"/>
  <c r="Q68" i="2"/>
  <c r="Q63" i="2"/>
  <c r="R63" i="2" s="1"/>
  <c r="O69" i="2"/>
  <c r="P64" i="2"/>
  <c r="O65" i="2"/>
  <c r="K91" i="2"/>
  <c r="L90" i="2"/>
  <c r="M90" i="2" s="1"/>
  <c r="N90" i="2" s="1"/>
  <c r="R173" i="2"/>
  <c r="P88" i="2"/>
  <c r="Q88" i="2" s="1"/>
  <c r="K71" i="2"/>
  <c r="L70" i="2"/>
  <c r="M70" i="2" s="1"/>
  <c r="N70" i="2" s="1"/>
  <c r="P198" i="2"/>
  <c r="Q198" i="2" s="1"/>
  <c r="O93" i="2"/>
  <c r="K67" i="2"/>
  <c r="L67" i="2" s="1"/>
  <c r="M67" i="2" s="1"/>
  <c r="L66" i="2"/>
  <c r="M66" i="2" s="1"/>
  <c r="N66" i="2" s="1"/>
  <c r="K87" i="2"/>
  <c r="L86" i="2"/>
  <c r="M86" i="2" s="1"/>
  <c r="P60" i="2"/>
  <c r="P199" i="2"/>
  <c r="Q104" i="2"/>
  <c r="K95" i="2"/>
  <c r="L94" i="2"/>
  <c r="M94" i="2" s="1"/>
  <c r="N94" i="2" s="1"/>
  <c r="R197" i="2"/>
  <c r="Q174" i="2"/>
  <c r="R174" i="2" s="1"/>
  <c r="I106" i="2"/>
  <c r="J105" i="2"/>
  <c r="N105" i="2" s="1"/>
  <c r="AK105" i="2" s="1"/>
  <c r="R59" i="2"/>
  <c r="R169" i="2"/>
  <c r="P89" i="2"/>
  <c r="P175" i="2"/>
  <c r="Q175" i="2" s="1"/>
  <c r="R102" i="2"/>
  <c r="P44" i="2"/>
  <c r="P36" i="2"/>
  <c r="O45" i="2"/>
  <c r="O41" i="2"/>
  <c r="P40" i="2"/>
  <c r="I47" i="2"/>
  <c r="J47" i="2" s="1"/>
  <c r="N47" i="2" s="1"/>
  <c r="J46" i="2"/>
  <c r="N46" i="2" s="1"/>
  <c r="P37" i="2"/>
  <c r="Q37" i="2"/>
  <c r="O42" i="2"/>
  <c r="AP33" i="10" l="1"/>
  <c r="AN70" i="10" s="1"/>
  <c r="AO70" i="10" s="1"/>
  <c r="AJ107" i="10"/>
  <c r="AM107" i="10" s="1"/>
  <c r="AO107" i="10" s="1"/>
  <c r="AH42" i="10"/>
  <c r="AI42" i="10" s="1"/>
  <c r="AN56" i="12"/>
  <c r="AO56" i="12" s="1"/>
  <c r="AN66" i="12"/>
  <c r="AO66" i="12" s="1"/>
  <c r="AN51" i="12"/>
  <c r="AO51" i="12" s="1"/>
  <c r="AP48" i="12" s="1"/>
  <c r="AN71" i="12"/>
  <c r="AO71" i="12" s="1"/>
  <c r="AN61" i="12"/>
  <c r="AO61" i="12" s="1"/>
  <c r="AJ47" i="12"/>
  <c r="AM47" i="12" s="1"/>
  <c r="AO47" i="12" s="1"/>
  <c r="AP43" i="12" s="1"/>
  <c r="AL47" i="12"/>
  <c r="AK47" i="12"/>
  <c r="AH47" i="10"/>
  <c r="AI47" i="10" s="1"/>
  <c r="AJ41" i="11"/>
  <c r="AM41" i="11" s="1"/>
  <c r="AO41" i="11" s="1"/>
  <c r="AP38" i="11" s="1"/>
  <c r="AL41" i="11"/>
  <c r="AK41" i="11"/>
  <c r="AL126" i="12"/>
  <c r="AJ126" i="12"/>
  <c r="AK126" i="12"/>
  <c r="AN57" i="11"/>
  <c r="AO57" i="11" s="1"/>
  <c r="AN62" i="11"/>
  <c r="AO62" i="11" s="1"/>
  <c r="AN67" i="11"/>
  <c r="AO67" i="11" s="1"/>
  <c r="AN52" i="11"/>
  <c r="AO52" i="11" s="1"/>
  <c r="AN72" i="11"/>
  <c r="AO72" i="11" s="1"/>
  <c r="AJ131" i="12"/>
  <c r="W34" i="2"/>
  <c r="Y34" i="2" s="1"/>
  <c r="X34" i="2"/>
  <c r="AH101" i="2"/>
  <c r="AI101" i="2" s="1"/>
  <c r="AL30" i="2"/>
  <c r="AJ30" i="2"/>
  <c r="AM30" i="2" s="1"/>
  <c r="AO30" i="2" s="1"/>
  <c r="AK30" i="2"/>
  <c r="U111" i="10"/>
  <c r="AA111" i="10" s="1"/>
  <c r="AD111" i="10" s="1"/>
  <c r="AG111" i="10" s="1"/>
  <c r="U110" i="10"/>
  <c r="V110" i="10" s="1"/>
  <c r="Q112" i="10"/>
  <c r="R112" i="10" s="1"/>
  <c r="S112" i="10" s="1"/>
  <c r="T112" i="10" s="1"/>
  <c r="Q116" i="10"/>
  <c r="R116" i="10" s="1"/>
  <c r="S116" i="10" s="1"/>
  <c r="T116" i="10" s="1"/>
  <c r="Q117" i="10"/>
  <c r="R117" i="10" s="1"/>
  <c r="S117" i="10" s="1"/>
  <c r="T117" i="10" s="1"/>
  <c r="X134" i="12"/>
  <c r="W134" i="12"/>
  <c r="U143" i="12"/>
  <c r="U135" i="12"/>
  <c r="AA135" i="12" s="1"/>
  <c r="AD135" i="12" s="1"/>
  <c r="AG135" i="12" s="1"/>
  <c r="R140" i="12"/>
  <c r="S140" i="12" s="1"/>
  <c r="T140" i="12" s="1"/>
  <c r="W138" i="12"/>
  <c r="P141" i="12"/>
  <c r="Q141" i="12" s="1"/>
  <c r="O147" i="12"/>
  <c r="U139" i="12"/>
  <c r="AA139" i="12" s="1"/>
  <c r="AD139" i="12" s="1"/>
  <c r="AG139" i="12" s="1"/>
  <c r="P142" i="12"/>
  <c r="AB132" i="12"/>
  <c r="AE132" i="12" s="1"/>
  <c r="Y132" i="12"/>
  <c r="Z132" i="12" s="1"/>
  <c r="AC132" i="12" s="1"/>
  <c r="AF132" i="12" s="1"/>
  <c r="AM131" i="12"/>
  <c r="Q136" i="12"/>
  <c r="R136" i="12" s="1"/>
  <c r="S136" i="12" s="1"/>
  <c r="T136" i="12" s="1"/>
  <c r="W133" i="12"/>
  <c r="X133" i="12"/>
  <c r="R144" i="12"/>
  <c r="S144" i="12" s="1"/>
  <c r="T144" i="12" s="1"/>
  <c r="O146" i="12"/>
  <c r="P145" i="12"/>
  <c r="Q137" i="12"/>
  <c r="R137" i="12" s="1"/>
  <c r="S137" i="12" s="1"/>
  <c r="T137" i="12" s="1"/>
  <c r="AA134" i="12"/>
  <c r="AD134" i="12" s="1"/>
  <c r="AG134" i="12" s="1"/>
  <c r="AA138" i="12"/>
  <c r="AD138" i="12" s="1"/>
  <c r="AG138" i="12" s="1"/>
  <c r="V108" i="11"/>
  <c r="U113" i="11"/>
  <c r="AA113" i="11" s="1"/>
  <c r="AD113" i="11" s="1"/>
  <c r="AG113" i="11" s="1"/>
  <c r="U109" i="11"/>
  <c r="V109" i="11" s="1"/>
  <c r="X109" i="11" s="1"/>
  <c r="O112" i="11"/>
  <c r="O117" i="11"/>
  <c r="P111" i="11"/>
  <c r="Q111" i="11" s="1"/>
  <c r="AJ104" i="11"/>
  <c r="AL104" i="11"/>
  <c r="AK104" i="11"/>
  <c r="R110" i="11"/>
  <c r="S110" i="11" s="1"/>
  <c r="T110" i="11" s="1"/>
  <c r="AM105" i="11"/>
  <c r="P119" i="11"/>
  <c r="O120" i="11"/>
  <c r="R114" i="11"/>
  <c r="S114" i="11" s="1"/>
  <c r="T114" i="11" s="1"/>
  <c r="R118" i="11"/>
  <c r="S118" i="11" s="1"/>
  <c r="T118" i="11" s="1"/>
  <c r="X107" i="11"/>
  <c r="W107" i="11"/>
  <c r="L123" i="11"/>
  <c r="M123" i="11" s="1"/>
  <c r="N123" i="11" s="1"/>
  <c r="K124" i="11"/>
  <c r="P115" i="11"/>
  <c r="Q115" i="11" s="1"/>
  <c r="Y106" i="11"/>
  <c r="Z106" i="11" s="1"/>
  <c r="AC106" i="11" s="1"/>
  <c r="AF106" i="11" s="1"/>
  <c r="AB106" i="11"/>
  <c r="AE106" i="11" s="1"/>
  <c r="K122" i="11"/>
  <c r="L122" i="11" s="1"/>
  <c r="M122" i="11" s="1"/>
  <c r="N122" i="11" s="1"/>
  <c r="L121" i="11"/>
  <c r="M121" i="11" s="1"/>
  <c r="N121" i="11" s="1"/>
  <c r="O116" i="11"/>
  <c r="AM103" i="11"/>
  <c r="W167" i="2"/>
  <c r="X167" i="2"/>
  <c r="P104" i="2"/>
  <c r="S104" i="2" s="1"/>
  <c r="T104" i="2" s="1"/>
  <c r="U35" i="2"/>
  <c r="AA35" i="2" s="1"/>
  <c r="AD35" i="2" s="1"/>
  <c r="AG35" i="2" s="1"/>
  <c r="U192" i="2"/>
  <c r="V192" i="2" s="1"/>
  <c r="U83" i="2"/>
  <c r="AA83" i="2" s="1"/>
  <c r="AD83" i="2" s="1"/>
  <c r="AG83" i="2" s="1"/>
  <c r="AJ78" i="2"/>
  <c r="AL78" i="2"/>
  <c r="AK78" i="2"/>
  <c r="AA167" i="2"/>
  <c r="AD167" i="2" s="1"/>
  <c r="AG167" i="2" s="1"/>
  <c r="AA172" i="2"/>
  <c r="AD172" i="2" s="1"/>
  <c r="AG172" i="2" s="1"/>
  <c r="AA168" i="2"/>
  <c r="AD168" i="2" s="1"/>
  <c r="AG168" i="2" s="1"/>
  <c r="V58" i="2"/>
  <c r="AC102" i="2"/>
  <c r="AF102" i="2" s="1"/>
  <c r="AA102" i="2"/>
  <c r="W102" i="2"/>
  <c r="AB102" i="2"/>
  <c r="AE102" i="2" s="1"/>
  <c r="X102" i="2"/>
  <c r="V102" i="2"/>
  <c r="Y102" i="2"/>
  <c r="AD102" i="2"/>
  <c r="AG102" i="2" s="1"/>
  <c r="Z102" i="2"/>
  <c r="W191" i="2"/>
  <c r="X191" i="2"/>
  <c r="Y166" i="2"/>
  <c r="Z166" i="2" s="1"/>
  <c r="AC166" i="2" s="1"/>
  <c r="AF166" i="2" s="1"/>
  <c r="AB166" i="2"/>
  <c r="AE166" i="2" s="1"/>
  <c r="O94" i="2"/>
  <c r="O90" i="2"/>
  <c r="U196" i="2"/>
  <c r="W163" i="2"/>
  <c r="X163" i="2"/>
  <c r="AA33" i="2"/>
  <c r="AD33" i="2" s="1"/>
  <c r="AG33" i="2" s="1"/>
  <c r="AL101" i="2"/>
  <c r="AJ101" i="2"/>
  <c r="V172" i="2"/>
  <c r="V168" i="2"/>
  <c r="AA58" i="2"/>
  <c r="AD58" i="2" s="1"/>
  <c r="AG58" i="2" s="1"/>
  <c r="U193" i="2"/>
  <c r="V193" i="2" s="1"/>
  <c r="U38" i="2"/>
  <c r="U43" i="2"/>
  <c r="V43" i="2" s="1"/>
  <c r="X162" i="2"/>
  <c r="W162" i="2"/>
  <c r="V33" i="2"/>
  <c r="V187" i="2"/>
  <c r="W171" i="2"/>
  <c r="X171" i="2"/>
  <c r="AA34" i="2"/>
  <c r="AD34" i="2" s="1"/>
  <c r="AG34" i="2" s="1"/>
  <c r="AB34" i="2"/>
  <c r="AE34" i="2" s="1"/>
  <c r="Y186" i="2"/>
  <c r="Z186" i="2" s="1"/>
  <c r="AC186" i="2" s="1"/>
  <c r="AF186" i="2" s="1"/>
  <c r="AB186" i="2"/>
  <c r="AE186" i="2" s="1"/>
  <c r="U113" i="10"/>
  <c r="U109" i="10"/>
  <c r="V109" i="10" s="1"/>
  <c r="P115" i="10"/>
  <c r="AM103" i="10"/>
  <c r="O120" i="10"/>
  <c r="K124" i="10"/>
  <c r="L123" i="10"/>
  <c r="M123" i="10" s="1"/>
  <c r="N123" i="10" s="1"/>
  <c r="Q114" i="10"/>
  <c r="R114" i="10" s="1"/>
  <c r="S114" i="10" s="1"/>
  <c r="T114" i="10" s="1"/>
  <c r="P119" i="10"/>
  <c r="R118" i="10"/>
  <c r="S118" i="10" s="1"/>
  <c r="T118" i="10" s="1"/>
  <c r="K122" i="10"/>
  <c r="L122" i="10" s="1"/>
  <c r="M122" i="10" s="1"/>
  <c r="N122" i="10" s="1"/>
  <c r="O122" i="10" s="1"/>
  <c r="P122" i="10" s="1"/>
  <c r="L121" i="10"/>
  <c r="M121" i="10" s="1"/>
  <c r="N121" i="10" s="1"/>
  <c r="V108" i="10"/>
  <c r="AA108" i="10"/>
  <c r="AD108" i="10" s="1"/>
  <c r="AG108" i="10" s="1"/>
  <c r="AN58" i="2"/>
  <c r="AN53" i="2"/>
  <c r="AO53" i="2" s="1"/>
  <c r="AN63" i="2"/>
  <c r="AN48" i="2"/>
  <c r="AO48" i="2" s="1"/>
  <c r="AM161" i="2"/>
  <c r="AO161" i="2" s="1"/>
  <c r="AM54" i="2"/>
  <c r="AM29" i="2"/>
  <c r="AO29" i="2" s="1"/>
  <c r="S37" i="2"/>
  <c r="T37" i="2" s="1"/>
  <c r="R68" i="2"/>
  <c r="S68" i="2" s="1"/>
  <c r="T68" i="2" s="1"/>
  <c r="S174" i="2"/>
  <c r="T174" i="2" s="1"/>
  <c r="S59" i="2"/>
  <c r="T59" i="2" s="1"/>
  <c r="S39" i="2"/>
  <c r="T39" i="2" s="1"/>
  <c r="Q40" i="2"/>
  <c r="R40" i="2" s="1"/>
  <c r="S40" i="2" s="1"/>
  <c r="T40" i="2" s="1"/>
  <c r="Q89" i="2"/>
  <c r="R89" i="2" s="1"/>
  <c r="S197" i="2"/>
  <c r="T197" i="2" s="1"/>
  <c r="Q64" i="2"/>
  <c r="R64" i="2" s="1"/>
  <c r="S84" i="2"/>
  <c r="T84" i="2" s="1"/>
  <c r="Q44" i="2"/>
  <c r="R44" i="2" s="1"/>
  <c r="S44" i="2" s="1"/>
  <c r="T44" i="2" s="1"/>
  <c r="S63" i="2"/>
  <c r="T63" i="2" s="1"/>
  <c r="Q36" i="2"/>
  <c r="R36" i="2" s="1"/>
  <c r="S36" i="2" s="1"/>
  <c r="T36" i="2" s="1"/>
  <c r="S169" i="2"/>
  <c r="T169" i="2" s="1"/>
  <c r="S173" i="2"/>
  <c r="T173" i="2" s="1"/>
  <c r="O105" i="2"/>
  <c r="U105" i="2" s="1"/>
  <c r="I107" i="2"/>
  <c r="J106" i="2"/>
  <c r="N106" i="2" s="1"/>
  <c r="AK106" i="2" s="1"/>
  <c r="K72" i="2"/>
  <c r="L72" i="2" s="1"/>
  <c r="M72" i="2" s="1"/>
  <c r="N72" i="2" s="1"/>
  <c r="L71" i="2"/>
  <c r="M71" i="2" s="1"/>
  <c r="N71" i="2" s="1"/>
  <c r="P65" i="2"/>
  <c r="Q65" i="2" s="1"/>
  <c r="R65" i="2" s="1"/>
  <c r="O70" i="2"/>
  <c r="R175" i="2"/>
  <c r="P94" i="2"/>
  <c r="L87" i="2"/>
  <c r="M87" i="2" s="1"/>
  <c r="K98" i="2"/>
  <c r="P90" i="2"/>
  <c r="K96" i="2"/>
  <c r="L95" i="2"/>
  <c r="M95" i="2" s="1"/>
  <c r="N95" i="2" s="1"/>
  <c r="Q199" i="2"/>
  <c r="R199" i="2" s="1"/>
  <c r="S199" i="2" s="1"/>
  <c r="T199" i="2" s="1"/>
  <c r="U199" i="2" s="1"/>
  <c r="Q60" i="2"/>
  <c r="R60" i="2" s="1"/>
  <c r="S60" i="2" s="1"/>
  <c r="T60" i="2" s="1"/>
  <c r="O66" i="2"/>
  <c r="P93" i="2"/>
  <c r="Q93" i="2" s="1"/>
  <c r="R198" i="2"/>
  <c r="R88" i="2"/>
  <c r="K92" i="2"/>
  <c r="L92" i="2" s="1"/>
  <c r="M92" i="2" s="1"/>
  <c r="L91" i="2"/>
  <c r="M91" i="2" s="1"/>
  <c r="P69" i="2"/>
  <c r="Q69" i="2" s="1"/>
  <c r="R69" i="2" s="1"/>
  <c r="P42" i="2"/>
  <c r="O47" i="2"/>
  <c r="P41" i="2"/>
  <c r="O46" i="2"/>
  <c r="R37" i="2"/>
  <c r="P45" i="2"/>
  <c r="V35" i="2" l="1"/>
  <c r="W35" i="2" s="1"/>
  <c r="Y35" i="2" s="1"/>
  <c r="AM126" i="12"/>
  <c r="AN55" i="10"/>
  <c r="AO55" i="10" s="1"/>
  <c r="AN60" i="10"/>
  <c r="AO60" i="10" s="1"/>
  <c r="V83" i="2"/>
  <c r="W83" i="2" s="1"/>
  <c r="Y83" i="2" s="1"/>
  <c r="AN65" i="10"/>
  <c r="AO65" i="10" s="1"/>
  <c r="AN50" i="10"/>
  <c r="AO50" i="10" s="1"/>
  <c r="AP48" i="10" s="1"/>
  <c r="AL42" i="10"/>
  <c r="AJ42" i="10"/>
  <c r="AM42" i="10" s="1"/>
  <c r="AO42" i="10" s="1"/>
  <c r="AP38" i="10" s="1"/>
  <c r="AK42" i="10"/>
  <c r="AN56" i="11"/>
  <c r="AO56" i="11" s="1"/>
  <c r="AN71" i="11"/>
  <c r="AO71" i="11" s="1"/>
  <c r="AP68" i="11" s="1"/>
  <c r="AN61" i="11"/>
  <c r="AO61" i="11" s="1"/>
  <c r="AP58" i="11" s="1"/>
  <c r="AN51" i="11"/>
  <c r="AO51" i="11" s="1"/>
  <c r="AN66" i="11"/>
  <c r="AO66" i="11" s="1"/>
  <c r="AP63" i="11" s="1"/>
  <c r="AN78" i="12"/>
  <c r="AO78" i="12" s="1"/>
  <c r="AP78" i="12" s="1"/>
  <c r="AN93" i="12"/>
  <c r="AO93" i="12" s="1"/>
  <c r="AN73" i="12"/>
  <c r="AN83" i="12"/>
  <c r="AO83" i="12" s="1"/>
  <c r="AN88" i="12"/>
  <c r="AO88" i="12" s="1"/>
  <c r="AP53" i="11"/>
  <c r="AL47" i="10"/>
  <c r="AJ47" i="10"/>
  <c r="AK47" i="10"/>
  <c r="AN62" i="12"/>
  <c r="AO62" i="12" s="1"/>
  <c r="AP58" i="12" s="1"/>
  <c r="AN72" i="12"/>
  <c r="AO72" i="12" s="1"/>
  <c r="AP68" i="12" s="1"/>
  <c r="AN57" i="12"/>
  <c r="AO57" i="12" s="1"/>
  <c r="AP53" i="12" s="1"/>
  <c r="AN67" i="12"/>
  <c r="AO67" i="12" s="1"/>
  <c r="AP63" i="12" s="1"/>
  <c r="AN52" i="12"/>
  <c r="AP48" i="11"/>
  <c r="AN93" i="10"/>
  <c r="AO93" i="10" s="1"/>
  <c r="AN78" i="10"/>
  <c r="AO78" i="10" s="1"/>
  <c r="AN88" i="10"/>
  <c r="AO88" i="10" s="1"/>
  <c r="AN83" i="10"/>
  <c r="AO83" i="10" s="1"/>
  <c r="AN73" i="10"/>
  <c r="AO73" i="10" s="1"/>
  <c r="AH186" i="2"/>
  <c r="AI186" i="2" s="1"/>
  <c r="AK186" i="2" s="1"/>
  <c r="AH166" i="2"/>
  <c r="AI166" i="2" s="1"/>
  <c r="Z34" i="2"/>
  <c r="AC34" i="2" s="1"/>
  <c r="AF34" i="2" s="1"/>
  <c r="AH34" i="2" s="1"/>
  <c r="AI34" i="2" s="1"/>
  <c r="AA192" i="2"/>
  <c r="AD192" i="2" s="1"/>
  <c r="AG192" i="2" s="1"/>
  <c r="U116" i="10"/>
  <c r="AA116" i="10" s="1"/>
  <c r="AD116" i="10" s="1"/>
  <c r="AG116" i="10" s="1"/>
  <c r="U112" i="10"/>
  <c r="V112" i="10" s="1"/>
  <c r="W110" i="10"/>
  <c r="X110" i="10"/>
  <c r="U117" i="10"/>
  <c r="AA117" i="10" s="1"/>
  <c r="AD117" i="10" s="1"/>
  <c r="AG117" i="10" s="1"/>
  <c r="AH132" i="12"/>
  <c r="AI132" i="12" s="1"/>
  <c r="V111" i="10"/>
  <c r="Q122" i="10"/>
  <c r="R122" i="10" s="1"/>
  <c r="S122" i="10" s="1"/>
  <c r="T122" i="10" s="1"/>
  <c r="AA110" i="10"/>
  <c r="AD110" i="10" s="1"/>
  <c r="AG110" i="10" s="1"/>
  <c r="V135" i="12"/>
  <c r="W135" i="12" s="1"/>
  <c r="AB135" i="12" s="1"/>
  <c r="AE135" i="12" s="1"/>
  <c r="U137" i="12"/>
  <c r="AA137" i="12" s="1"/>
  <c r="AD137" i="12" s="1"/>
  <c r="AG137" i="12" s="1"/>
  <c r="U136" i="12"/>
  <c r="V136" i="12" s="1"/>
  <c r="X136" i="12" s="1"/>
  <c r="U144" i="12"/>
  <c r="V144" i="12" s="1"/>
  <c r="X144" i="12" s="1"/>
  <c r="AB133" i="12"/>
  <c r="AE133" i="12" s="1"/>
  <c r="Y133" i="12"/>
  <c r="Z133" i="12" s="1"/>
  <c r="AC133" i="12" s="1"/>
  <c r="AF133" i="12" s="1"/>
  <c r="P146" i="12"/>
  <c r="Q146" i="12" s="1"/>
  <c r="V143" i="12"/>
  <c r="Q145" i="12"/>
  <c r="R145" i="12" s="1"/>
  <c r="S145" i="12" s="1"/>
  <c r="T145" i="12" s="1"/>
  <c r="V139" i="12"/>
  <c r="AB138" i="12"/>
  <c r="AE138" i="12" s="1"/>
  <c r="Y138" i="12"/>
  <c r="Z138" i="12" s="1"/>
  <c r="AC138" i="12" s="1"/>
  <c r="AF138" i="12" s="1"/>
  <c r="AB134" i="12"/>
  <c r="AE134" i="12" s="1"/>
  <c r="Y134" i="12"/>
  <c r="Z134" i="12" s="1"/>
  <c r="AC134" i="12" s="1"/>
  <c r="AF134" i="12" s="1"/>
  <c r="AL132" i="12"/>
  <c r="AJ132" i="12"/>
  <c r="AK132" i="12"/>
  <c r="P147" i="12"/>
  <c r="Q147" i="12" s="1"/>
  <c r="U140" i="12"/>
  <c r="Q142" i="12"/>
  <c r="R142" i="12" s="1"/>
  <c r="S142" i="12" s="1"/>
  <c r="T142" i="12" s="1"/>
  <c r="R141" i="12"/>
  <c r="S141" i="12" s="1"/>
  <c r="T141" i="12" s="1"/>
  <c r="AA143" i="12"/>
  <c r="AD143" i="12" s="1"/>
  <c r="AG143" i="12" s="1"/>
  <c r="AH106" i="11"/>
  <c r="AI106" i="11" s="1"/>
  <c r="AK106" i="11" s="1"/>
  <c r="AA109" i="11"/>
  <c r="AD109" i="11" s="1"/>
  <c r="AG109" i="11" s="1"/>
  <c r="X108" i="11"/>
  <c r="W108" i="11"/>
  <c r="U114" i="11"/>
  <c r="AA114" i="11" s="1"/>
  <c r="AD114" i="11" s="1"/>
  <c r="AG114" i="11" s="1"/>
  <c r="U110" i="11"/>
  <c r="O123" i="11"/>
  <c r="P117" i="11"/>
  <c r="O122" i="11"/>
  <c r="AB107" i="11"/>
  <c r="AE107" i="11" s="1"/>
  <c r="Y107" i="11"/>
  <c r="Z107" i="11" s="1"/>
  <c r="AC107" i="11" s="1"/>
  <c r="AF107" i="11" s="1"/>
  <c r="W109" i="11"/>
  <c r="V113" i="11"/>
  <c r="R115" i="11"/>
  <c r="S115" i="11" s="1"/>
  <c r="T115" i="11" s="1"/>
  <c r="P120" i="11"/>
  <c r="Q120" i="11" s="1"/>
  <c r="P116" i="11"/>
  <c r="Q116" i="11" s="1"/>
  <c r="Q119" i="11"/>
  <c r="R119" i="11" s="1"/>
  <c r="S119" i="11" s="1"/>
  <c r="T119" i="11" s="1"/>
  <c r="AM104" i="11"/>
  <c r="P112" i="11"/>
  <c r="O121" i="11"/>
  <c r="U118" i="11"/>
  <c r="AA118" i="11" s="1"/>
  <c r="AD118" i="11" s="1"/>
  <c r="AG118" i="11" s="1"/>
  <c r="AL106" i="11"/>
  <c r="AJ106" i="11"/>
  <c r="K125" i="11"/>
  <c r="L124" i="11"/>
  <c r="M124" i="11" s="1"/>
  <c r="N124" i="11" s="1"/>
  <c r="R111" i="11"/>
  <c r="S111" i="11" s="1"/>
  <c r="T111" i="11" s="1"/>
  <c r="W192" i="2"/>
  <c r="X192" i="2"/>
  <c r="AB104" i="2"/>
  <c r="AE104" i="2" s="1"/>
  <c r="Z104" i="2"/>
  <c r="AD104" i="2"/>
  <c r="AG104" i="2" s="1"/>
  <c r="Y104" i="2"/>
  <c r="AC104" i="2"/>
  <c r="AF104" i="2" s="1"/>
  <c r="W104" i="2"/>
  <c r="V104" i="2"/>
  <c r="AA104" i="2"/>
  <c r="X104" i="2"/>
  <c r="X193" i="2"/>
  <c r="W193" i="2"/>
  <c r="W43" i="2"/>
  <c r="X43" i="2"/>
  <c r="AA199" i="2"/>
  <c r="AD199" i="2" s="1"/>
  <c r="AG199" i="2" s="1"/>
  <c r="R104" i="2"/>
  <c r="U173" i="2"/>
  <c r="U44" i="2"/>
  <c r="U174" i="2"/>
  <c r="V174" i="2" s="1"/>
  <c r="W174" i="2" s="1"/>
  <c r="Y191" i="2"/>
  <c r="Z191" i="2" s="1"/>
  <c r="AC191" i="2" s="1"/>
  <c r="AF191" i="2" s="1"/>
  <c r="AB191" i="2"/>
  <c r="AE191" i="2" s="1"/>
  <c r="X83" i="2"/>
  <c r="Z83" i="2" s="1"/>
  <c r="AC83" i="2" s="1"/>
  <c r="AF83" i="2" s="1"/>
  <c r="AB37" i="2"/>
  <c r="AE37" i="2" s="1"/>
  <c r="AD37" i="2"/>
  <c r="AG37" i="2" s="1"/>
  <c r="Y37" i="2"/>
  <c r="W37" i="2"/>
  <c r="Z37" i="2"/>
  <c r="V37" i="2"/>
  <c r="AC37" i="2"/>
  <c r="AF37" i="2" s="1"/>
  <c r="AA37" i="2"/>
  <c r="X37" i="2"/>
  <c r="Y162" i="2"/>
  <c r="Z162" i="2" s="1"/>
  <c r="AC162" i="2" s="1"/>
  <c r="AF162" i="2" s="1"/>
  <c r="AB162" i="2"/>
  <c r="AE162" i="2" s="1"/>
  <c r="U169" i="2"/>
  <c r="V169" i="2" s="1"/>
  <c r="U84" i="2"/>
  <c r="U40" i="2"/>
  <c r="V40" i="2" s="1"/>
  <c r="AJ186" i="2"/>
  <c r="X187" i="2"/>
  <c r="W187" i="2"/>
  <c r="AA43" i="2"/>
  <c r="AD43" i="2" s="1"/>
  <c r="AG43" i="2" s="1"/>
  <c r="AB163" i="2"/>
  <c r="AE163" i="2" s="1"/>
  <c r="Y163" i="2"/>
  <c r="Z163" i="2" s="1"/>
  <c r="AC163" i="2" s="1"/>
  <c r="AF163" i="2" s="1"/>
  <c r="AL166" i="2"/>
  <c r="AJ166" i="2"/>
  <c r="AK166" i="2"/>
  <c r="X58" i="2"/>
  <c r="W58" i="2"/>
  <c r="U60" i="2"/>
  <c r="U63" i="2"/>
  <c r="AA63" i="2" s="1"/>
  <c r="AD63" i="2" s="1"/>
  <c r="AG63" i="2" s="1"/>
  <c r="U197" i="2"/>
  <c r="V197" i="2" s="1"/>
  <c r="U59" i="2"/>
  <c r="AA59" i="2" s="1"/>
  <c r="AD59" i="2" s="1"/>
  <c r="AG59" i="2" s="1"/>
  <c r="Y171" i="2"/>
  <c r="Z171" i="2" s="1"/>
  <c r="AC171" i="2" s="1"/>
  <c r="AF171" i="2" s="1"/>
  <c r="AB171" i="2"/>
  <c r="AE171" i="2" s="1"/>
  <c r="AA193" i="2"/>
  <c r="AD193" i="2" s="1"/>
  <c r="AG193" i="2" s="1"/>
  <c r="W172" i="2"/>
  <c r="X172" i="2"/>
  <c r="V199" i="2"/>
  <c r="X199" i="2" s="1"/>
  <c r="U36" i="2"/>
  <c r="AA36" i="2" s="1"/>
  <c r="AD36" i="2" s="1"/>
  <c r="AG36" i="2" s="1"/>
  <c r="U39" i="2"/>
  <c r="V39" i="2" s="1"/>
  <c r="W39" i="2" s="1"/>
  <c r="Y39" i="2" s="1"/>
  <c r="U68" i="2"/>
  <c r="AA68" i="2" s="1"/>
  <c r="AD68" i="2" s="1"/>
  <c r="AG68" i="2" s="1"/>
  <c r="W33" i="2"/>
  <c r="X33" i="2"/>
  <c r="AA38" i="2"/>
  <c r="AD38" i="2" s="1"/>
  <c r="AG38" i="2" s="1"/>
  <c r="V38" i="2"/>
  <c r="W168" i="2"/>
  <c r="X168" i="2"/>
  <c r="AA196" i="2"/>
  <c r="AD196" i="2" s="1"/>
  <c r="AG196" i="2" s="1"/>
  <c r="V196" i="2"/>
  <c r="AH102" i="2"/>
  <c r="AI102" i="2" s="1"/>
  <c r="AB83" i="2"/>
  <c r="AE83" i="2" s="1"/>
  <c r="X35" i="2"/>
  <c r="Z35" i="2" s="1"/>
  <c r="AC35" i="2" s="1"/>
  <c r="AF35" i="2" s="1"/>
  <c r="AB35" i="2"/>
  <c r="AE35" i="2" s="1"/>
  <c r="Y167" i="2"/>
  <c r="Z167" i="2" s="1"/>
  <c r="AC167" i="2" s="1"/>
  <c r="AF167" i="2" s="1"/>
  <c r="AB167" i="2"/>
  <c r="AE167" i="2" s="1"/>
  <c r="U114" i="10"/>
  <c r="X109" i="10"/>
  <c r="W109" i="10"/>
  <c r="P120" i="10"/>
  <c r="Q120" i="10" s="1"/>
  <c r="O123" i="10"/>
  <c r="X108" i="10"/>
  <c r="W108" i="10"/>
  <c r="AA109" i="10"/>
  <c r="AD109" i="10" s="1"/>
  <c r="AG109" i="10" s="1"/>
  <c r="Q119" i="10"/>
  <c r="R119" i="10" s="1"/>
  <c r="S119" i="10" s="1"/>
  <c r="T119" i="10" s="1"/>
  <c r="K125" i="10"/>
  <c r="L124" i="10"/>
  <c r="M124" i="10" s="1"/>
  <c r="N124" i="10" s="1"/>
  <c r="Q115" i="10"/>
  <c r="R115" i="10" s="1"/>
  <c r="S115" i="10" s="1"/>
  <c r="T115" i="10" s="1"/>
  <c r="U118" i="10"/>
  <c r="V118" i="10" s="1"/>
  <c r="O121" i="10"/>
  <c r="V113" i="10"/>
  <c r="AA113" i="10"/>
  <c r="AD113" i="10" s="1"/>
  <c r="AG113" i="10" s="1"/>
  <c r="AM101" i="2"/>
  <c r="AM100" i="2"/>
  <c r="AP28" i="2"/>
  <c r="AN54" i="2" s="1"/>
  <c r="AO54" i="2" s="1"/>
  <c r="AM78" i="2"/>
  <c r="S89" i="2"/>
  <c r="T89" i="2" s="1"/>
  <c r="S198" i="2"/>
  <c r="T198" i="2" s="1"/>
  <c r="Q45" i="2"/>
  <c r="R45" i="2" s="1"/>
  <c r="S45" i="2" s="1"/>
  <c r="T45" i="2" s="1"/>
  <c r="Q42" i="2"/>
  <c r="R42" i="2" s="1"/>
  <c r="S64" i="2"/>
  <c r="T64" i="2" s="1"/>
  <c r="S175" i="2"/>
  <c r="T175" i="2" s="1"/>
  <c r="S65" i="2"/>
  <c r="T65" i="2" s="1"/>
  <c r="Q94" i="2"/>
  <c r="R94" i="2" s="1"/>
  <c r="Q41" i="2"/>
  <c r="R41" i="2" s="1"/>
  <c r="S69" i="2"/>
  <c r="T69" i="2" s="1"/>
  <c r="Q90" i="2"/>
  <c r="R90" i="2" s="1"/>
  <c r="S90" i="2" s="1"/>
  <c r="T90" i="2" s="1"/>
  <c r="S88" i="2"/>
  <c r="T88" i="2" s="1"/>
  <c r="R93" i="2"/>
  <c r="O106" i="2"/>
  <c r="U106" i="2" s="1"/>
  <c r="K97" i="2"/>
  <c r="L97" i="2" s="1"/>
  <c r="M97" i="2" s="1"/>
  <c r="L96" i="2"/>
  <c r="M96" i="2" s="1"/>
  <c r="N96" i="2" s="1"/>
  <c r="P70" i="2"/>
  <c r="O71" i="2"/>
  <c r="I108" i="2"/>
  <c r="J107" i="2"/>
  <c r="N107" i="2" s="1"/>
  <c r="AK107" i="2" s="1"/>
  <c r="P66" i="2"/>
  <c r="O95" i="2"/>
  <c r="K99" i="2"/>
  <c r="L98" i="2"/>
  <c r="M98" i="2" s="1"/>
  <c r="O72" i="2"/>
  <c r="P105" i="2"/>
  <c r="Q105" i="2"/>
  <c r="P47" i="2"/>
  <c r="Q47" i="2" s="1"/>
  <c r="P46" i="2"/>
  <c r="AA39" i="2" l="1"/>
  <c r="AD39" i="2" s="1"/>
  <c r="AG39" i="2" s="1"/>
  <c r="AL186" i="2"/>
  <c r="AM47" i="10"/>
  <c r="AO47" i="10" s="1"/>
  <c r="AP43" i="10" s="1"/>
  <c r="AH162" i="2"/>
  <c r="AI162" i="2" s="1"/>
  <c r="AL162" i="2" s="1"/>
  <c r="AH191" i="2"/>
  <c r="AI191" i="2" s="1"/>
  <c r="X40" i="2"/>
  <c r="W40" i="2"/>
  <c r="AN90" i="12"/>
  <c r="AO90" i="12" s="1"/>
  <c r="AN80" i="12"/>
  <c r="AN95" i="12"/>
  <c r="AO95" i="12" s="1"/>
  <c r="AN85" i="12"/>
  <c r="AN75" i="12"/>
  <c r="AN90" i="11"/>
  <c r="AO90" i="11" s="1"/>
  <c r="AN85" i="11"/>
  <c r="AO85" i="11" s="1"/>
  <c r="AN80" i="11"/>
  <c r="AO80" i="11" s="1"/>
  <c r="AN95" i="11"/>
  <c r="AO95" i="11" s="1"/>
  <c r="AN75" i="11"/>
  <c r="AN82" i="11"/>
  <c r="AN77" i="11"/>
  <c r="AN92" i="11"/>
  <c r="AO92" i="11" s="1"/>
  <c r="AN87" i="11"/>
  <c r="AO87" i="11" s="1"/>
  <c r="AN97" i="11"/>
  <c r="AO97" i="11" s="1"/>
  <c r="AN79" i="12"/>
  <c r="AN89" i="12"/>
  <c r="AO89" i="12" s="1"/>
  <c r="AP88" i="12" s="1"/>
  <c r="AN94" i="12"/>
  <c r="AO94" i="12" s="1"/>
  <c r="AN84" i="12"/>
  <c r="AO84" i="12" s="1"/>
  <c r="AP83" i="12" s="1"/>
  <c r="AN74" i="12"/>
  <c r="AN86" i="11"/>
  <c r="AO86" i="11" s="1"/>
  <c r="AN76" i="11"/>
  <c r="AN81" i="11"/>
  <c r="AN96" i="11"/>
  <c r="AO96" i="11" s="1"/>
  <c r="AN91" i="11"/>
  <c r="AO91" i="11" s="1"/>
  <c r="V59" i="2"/>
  <c r="W59" i="2" s="1"/>
  <c r="AN86" i="12"/>
  <c r="AN91" i="12"/>
  <c r="AN81" i="12"/>
  <c r="AN76" i="12"/>
  <c r="AN96" i="12"/>
  <c r="AO96" i="12" s="1"/>
  <c r="AN79" i="11"/>
  <c r="AO79" i="11" s="1"/>
  <c r="AN74" i="11"/>
  <c r="AO74" i="11" s="1"/>
  <c r="AN89" i="11"/>
  <c r="AO89" i="11" s="1"/>
  <c r="AN84" i="11"/>
  <c r="AO84" i="11" s="1"/>
  <c r="AN94" i="11"/>
  <c r="AO94" i="11" s="1"/>
  <c r="AN71" i="10"/>
  <c r="AO71" i="10" s="1"/>
  <c r="AN56" i="10"/>
  <c r="AO56" i="10" s="1"/>
  <c r="AP53" i="10" s="1"/>
  <c r="AN51" i="10"/>
  <c r="AN66" i="10"/>
  <c r="AO66" i="10" s="1"/>
  <c r="AN61" i="10"/>
  <c r="AO61" i="10" s="1"/>
  <c r="AH167" i="2"/>
  <c r="AI167" i="2" s="1"/>
  <c r="AP93" i="12"/>
  <c r="AN73" i="11"/>
  <c r="AO73" i="11" s="1"/>
  <c r="AN78" i="11"/>
  <c r="AO78" i="11" s="1"/>
  <c r="AP78" i="11" s="1"/>
  <c r="AN88" i="11"/>
  <c r="AO88" i="11" s="1"/>
  <c r="AN93" i="11"/>
  <c r="AO93" i="11" s="1"/>
  <c r="AN83" i="11"/>
  <c r="AO83" i="11" s="1"/>
  <c r="AN72" i="10"/>
  <c r="AO72" i="10" s="1"/>
  <c r="AN52" i="10"/>
  <c r="AN67" i="10"/>
  <c r="AO67" i="10" s="1"/>
  <c r="AP63" i="10" s="1"/>
  <c r="AN62" i="10"/>
  <c r="AO62" i="10" s="1"/>
  <c r="AN57" i="10"/>
  <c r="AN99" i="12"/>
  <c r="AO99" i="12" s="1"/>
  <c r="AN104" i="12"/>
  <c r="AO104" i="12" s="1"/>
  <c r="AN114" i="12"/>
  <c r="AO114" i="12" s="1"/>
  <c r="AN119" i="12"/>
  <c r="AO119" i="12" s="1"/>
  <c r="AN109" i="12"/>
  <c r="AO109" i="12" s="1"/>
  <c r="AN82" i="12"/>
  <c r="AN92" i="12"/>
  <c r="AN87" i="12"/>
  <c r="AN97" i="12"/>
  <c r="AN77" i="12"/>
  <c r="X197" i="2"/>
  <c r="W197" i="2"/>
  <c r="Y197" i="2" s="1"/>
  <c r="AJ34" i="2"/>
  <c r="AL34" i="2"/>
  <c r="AK34" i="2"/>
  <c r="V68" i="2"/>
  <c r="X68" i="2" s="1"/>
  <c r="V63" i="2"/>
  <c r="AH35" i="2"/>
  <c r="AI35" i="2" s="1"/>
  <c r="V117" i="10"/>
  <c r="X117" i="10" s="1"/>
  <c r="Y135" i="12"/>
  <c r="V116" i="10"/>
  <c r="W112" i="10"/>
  <c r="X112" i="10"/>
  <c r="W111" i="10"/>
  <c r="X111" i="10"/>
  <c r="Y110" i="10"/>
  <c r="Z110" i="10" s="1"/>
  <c r="AC110" i="10" s="1"/>
  <c r="AF110" i="10" s="1"/>
  <c r="AB110" i="10"/>
  <c r="AE110" i="10" s="1"/>
  <c r="U122" i="10"/>
  <c r="AA122" i="10" s="1"/>
  <c r="AD122" i="10" s="1"/>
  <c r="AG122" i="10" s="1"/>
  <c r="AA112" i="10"/>
  <c r="AD112" i="10" s="1"/>
  <c r="AG112" i="10" s="1"/>
  <c r="X135" i="12"/>
  <c r="W117" i="10"/>
  <c r="AH107" i="11"/>
  <c r="AI107" i="11" s="1"/>
  <c r="AJ107" i="11" s="1"/>
  <c r="AM106" i="11"/>
  <c r="AH133" i="12"/>
  <c r="AI133" i="12" s="1"/>
  <c r="AJ133" i="12" s="1"/>
  <c r="AH138" i="12"/>
  <c r="AI138" i="12" s="1"/>
  <c r="AK138" i="12" s="1"/>
  <c r="V137" i="12"/>
  <c r="W137" i="12" s="1"/>
  <c r="AB137" i="12" s="1"/>
  <c r="AE137" i="12" s="1"/>
  <c r="AA136" i="12"/>
  <c r="AD136" i="12" s="1"/>
  <c r="AG136" i="12" s="1"/>
  <c r="U141" i="12"/>
  <c r="V141" i="12" s="1"/>
  <c r="U142" i="12"/>
  <c r="AH134" i="12"/>
  <c r="AI134" i="12" s="1"/>
  <c r="W144" i="12"/>
  <c r="R147" i="12"/>
  <c r="S147" i="12" s="1"/>
  <c r="T147" i="12" s="1"/>
  <c r="AM132" i="12"/>
  <c r="R146" i="12"/>
  <c r="S146" i="12" s="1"/>
  <c r="T146" i="12" s="1"/>
  <c r="W136" i="12"/>
  <c r="V140" i="12"/>
  <c r="U145" i="12"/>
  <c r="AA145" i="12" s="1"/>
  <c r="AD145" i="12" s="1"/>
  <c r="AG145" i="12" s="1"/>
  <c r="AA140" i="12"/>
  <c r="AD140" i="12" s="1"/>
  <c r="AG140" i="12" s="1"/>
  <c r="W139" i="12"/>
  <c r="X139" i="12"/>
  <c r="W143" i="12"/>
  <c r="X143" i="12"/>
  <c r="AL133" i="12"/>
  <c r="AK133" i="12"/>
  <c r="AA144" i="12"/>
  <c r="AD144" i="12" s="1"/>
  <c r="AG144" i="12" s="1"/>
  <c r="V118" i="11"/>
  <c r="W118" i="11" s="1"/>
  <c r="Y118" i="11" s="1"/>
  <c r="AB108" i="11"/>
  <c r="AE108" i="11" s="1"/>
  <c r="Y108" i="11"/>
  <c r="Z108" i="11" s="1"/>
  <c r="AC108" i="11" s="1"/>
  <c r="AF108" i="11" s="1"/>
  <c r="U119" i="11"/>
  <c r="AA119" i="11" s="1"/>
  <c r="AD119" i="11" s="1"/>
  <c r="AG119" i="11" s="1"/>
  <c r="P121" i="11"/>
  <c r="Q121" i="11" s="1"/>
  <c r="AB109" i="11"/>
  <c r="AE109" i="11" s="1"/>
  <c r="Y109" i="11"/>
  <c r="Z109" i="11" s="1"/>
  <c r="AC109" i="11" s="1"/>
  <c r="AF109" i="11" s="1"/>
  <c r="K126" i="11"/>
  <c r="L125" i="11"/>
  <c r="M125" i="11" s="1"/>
  <c r="N125" i="11" s="1"/>
  <c r="V110" i="11"/>
  <c r="AA110" i="11"/>
  <c r="AD110" i="11" s="1"/>
  <c r="AG110" i="11" s="1"/>
  <c r="V114" i="11"/>
  <c r="O124" i="11"/>
  <c r="U111" i="11"/>
  <c r="AA111" i="11" s="1"/>
  <c r="AD111" i="11" s="1"/>
  <c r="AG111" i="11" s="1"/>
  <c r="R120" i="11"/>
  <c r="S120" i="11" s="1"/>
  <c r="T120" i="11" s="1"/>
  <c r="AL107" i="11"/>
  <c r="U115" i="11"/>
  <c r="AA115" i="11" s="1"/>
  <c r="AD115" i="11" s="1"/>
  <c r="AG115" i="11" s="1"/>
  <c r="Q112" i="11"/>
  <c r="R112" i="11" s="1"/>
  <c r="S112" i="11" s="1"/>
  <c r="T112" i="11" s="1"/>
  <c r="R116" i="11"/>
  <c r="S116" i="11" s="1"/>
  <c r="T116" i="11" s="1"/>
  <c r="X113" i="11"/>
  <c r="W113" i="11"/>
  <c r="P122" i="11"/>
  <c r="Q117" i="11"/>
  <c r="R117" i="11" s="1"/>
  <c r="S117" i="11" s="1"/>
  <c r="T117" i="11" s="1"/>
  <c r="P123" i="11"/>
  <c r="Q123" i="11" s="1"/>
  <c r="W169" i="2"/>
  <c r="X169" i="2"/>
  <c r="Y59" i="2"/>
  <c r="AB59" i="2"/>
  <c r="AE59" i="2" s="1"/>
  <c r="Y174" i="2"/>
  <c r="AB174" i="2"/>
  <c r="AE174" i="2" s="1"/>
  <c r="U88" i="2"/>
  <c r="AA169" i="2"/>
  <c r="AD169" i="2" s="1"/>
  <c r="AG169" i="2" s="1"/>
  <c r="U65" i="2"/>
  <c r="V65" i="2" s="1"/>
  <c r="U45" i="2"/>
  <c r="V45" i="2" s="1"/>
  <c r="X45" i="2" s="1"/>
  <c r="AJ102" i="2"/>
  <c r="AL102" i="2"/>
  <c r="AB39" i="2"/>
  <c r="AE39" i="2" s="1"/>
  <c r="V36" i="2"/>
  <c r="AH171" i="2"/>
  <c r="AI171" i="2" s="1"/>
  <c r="X59" i="2"/>
  <c r="AA197" i="2"/>
  <c r="AD197" i="2" s="1"/>
  <c r="AG197" i="2" s="1"/>
  <c r="AA60" i="2"/>
  <c r="AD60" i="2" s="1"/>
  <c r="AG60" i="2" s="1"/>
  <c r="X174" i="2"/>
  <c r="AA44" i="2"/>
  <c r="AD44" i="2" s="1"/>
  <c r="AG44" i="2" s="1"/>
  <c r="AH104" i="2"/>
  <c r="AI104" i="2" s="1"/>
  <c r="AH83" i="2"/>
  <c r="AI83" i="2" s="1"/>
  <c r="X39" i="2"/>
  <c r="Z39" i="2" s="1"/>
  <c r="AC39" i="2" s="1"/>
  <c r="AF39" i="2" s="1"/>
  <c r="Y58" i="2"/>
  <c r="Z58" i="2" s="1"/>
  <c r="AC58" i="2" s="1"/>
  <c r="AF58" i="2" s="1"/>
  <c r="AB58" i="2"/>
  <c r="AE58" i="2" s="1"/>
  <c r="U69" i="2"/>
  <c r="U198" i="2"/>
  <c r="AA198" i="2" s="1"/>
  <c r="AD198" i="2" s="1"/>
  <c r="AG198" i="2" s="1"/>
  <c r="AL35" i="2"/>
  <c r="AJ35" i="2"/>
  <c r="U90" i="2"/>
  <c r="Y172" i="2"/>
  <c r="Z172" i="2" s="1"/>
  <c r="AC172" i="2" s="1"/>
  <c r="AF172" i="2" s="1"/>
  <c r="AB172" i="2"/>
  <c r="AE172" i="2" s="1"/>
  <c r="AB197" i="2"/>
  <c r="AE197" i="2" s="1"/>
  <c r="V60" i="2"/>
  <c r="Y187" i="2"/>
  <c r="Z187" i="2" s="1"/>
  <c r="AC187" i="2" s="1"/>
  <c r="AF187" i="2" s="1"/>
  <c r="AB187" i="2"/>
  <c r="AE187" i="2" s="1"/>
  <c r="AA84" i="2"/>
  <c r="AD84" i="2" s="1"/>
  <c r="AG84" i="2" s="1"/>
  <c r="AK162" i="2"/>
  <c r="AH37" i="2"/>
  <c r="AI37" i="2" s="1"/>
  <c r="AA174" i="2"/>
  <c r="AD174" i="2" s="1"/>
  <c r="AG174" i="2" s="1"/>
  <c r="V44" i="2"/>
  <c r="AA173" i="2"/>
  <c r="AD173" i="2" s="1"/>
  <c r="AG173" i="2" s="1"/>
  <c r="W199" i="2"/>
  <c r="AJ167" i="2"/>
  <c r="AL167" i="2"/>
  <c r="AK167" i="2"/>
  <c r="W38" i="2"/>
  <c r="X38" i="2"/>
  <c r="Y33" i="2"/>
  <c r="Z33" i="2" s="1"/>
  <c r="AC33" i="2" s="1"/>
  <c r="AF33" i="2" s="1"/>
  <c r="AB33" i="2"/>
  <c r="AE33" i="2" s="1"/>
  <c r="AJ191" i="2"/>
  <c r="AL191" i="2"/>
  <c r="AK191" i="2"/>
  <c r="U175" i="2"/>
  <c r="AA175" i="2" s="1"/>
  <c r="AD175" i="2" s="1"/>
  <c r="AG175" i="2" s="1"/>
  <c r="U64" i="2"/>
  <c r="V64" i="2" s="1"/>
  <c r="W64" i="2" s="1"/>
  <c r="U89" i="2"/>
  <c r="V89" i="2" s="1"/>
  <c r="W196" i="2"/>
  <c r="X196" i="2"/>
  <c r="AB168" i="2"/>
  <c r="AE168" i="2" s="1"/>
  <c r="Y168" i="2"/>
  <c r="Z168" i="2" s="1"/>
  <c r="AC168" i="2" s="1"/>
  <c r="AF168" i="2" s="1"/>
  <c r="AK35" i="2"/>
  <c r="AH163" i="2"/>
  <c r="AI163" i="2" s="1"/>
  <c r="AA40" i="2"/>
  <c r="AD40" i="2" s="1"/>
  <c r="AG40" i="2" s="1"/>
  <c r="V84" i="2"/>
  <c r="V173" i="2"/>
  <c r="Y43" i="2"/>
  <c r="Z43" i="2" s="1"/>
  <c r="AC43" i="2" s="1"/>
  <c r="AF43" i="2" s="1"/>
  <c r="AB43" i="2"/>
  <c r="AE43" i="2" s="1"/>
  <c r="Y193" i="2"/>
  <c r="Z193" i="2" s="1"/>
  <c r="AC193" i="2" s="1"/>
  <c r="AF193" i="2" s="1"/>
  <c r="AB193" i="2"/>
  <c r="AE193" i="2" s="1"/>
  <c r="Y192" i="2"/>
  <c r="Z192" i="2" s="1"/>
  <c r="AC192" i="2" s="1"/>
  <c r="AF192" i="2" s="1"/>
  <c r="AB192" i="2"/>
  <c r="AE192" i="2" s="1"/>
  <c r="X118" i="10"/>
  <c r="W118" i="10"/>
  <c r="U119" i="10"/>
  <c r="O124" i="10"/>
  <c r="AB109" i="10"/>
  <c r="AE109" i="10" s="1"/>
  <c r="Y109" i="10"/>
  <c r="Z109" i="10" s="1"/>
  <c r="AC109" i="10" s="1"/>
  <c r="AF109" i="10" s="1"/>
  <c r="Y108" i="10"/>
  <c r="Z108" i="10" s="1"/>
  <c r="AC108" i="10" s="1"/>
  <c r="AF108" i="10" s="1"/>
  <c r="AB108" i="10"/>
  <c r="AE108" i="10" s="1"/>
  <c r="U115" i="10"/>
  <c r="V115" i="10" s="1"/>
  <c r="P121" i="10"/>
  <c r="Q121" i="10" s="1"/>
  <c r="AA118" i="10"/>
  <c r="AD118" i="10" s="1"/>
  <c r="AG118" i="10" s="1"/>
  <c r="K126" i="10"/>
  <c r="L125" i="10"/>
  <c r="M125" i="10" s="1"/>
  <c r="N125" i="10" s="1"/>
  <c r="R120" i="10"/>
  <c r="S120" i="10" s="1"/>
  <c r="T120" i="10" s="1"/>
  <c r="W113" i="10"/>
  <c r="X113" i="10"/>
  <c r="P123" i="10"/>
  <c r="Q123" i="10" s="1"/>
  <c r="V114" i="10"/>
  <c r="AA114" i="10"/>
  <c r="AD114" i="10" s="1"/>
  <c r="AG114" i="10" s="1"/>
  <c r="AM102" i="2"/>
  <c r="AN69" i="2"/>
  <c r="AN64" i="2"/>
  <c r="AN49" i="2"/>
  <c r="AO49" i="2" s="1"/>
  <c r="AN59" i="2"/>
  <c r="AM186" i="2"/>
  <c r="AO186" i="2" s="1"/>
  <c r="AM166" i="2"/>
  <c r="AO166" i="2" s="1"/>
  <c r="S105" i="2"/>
  <c r="T105" i="2" s="1"/>
  <c r="Q46" i="2"/>
  <c r="R46" i="2" s="1"/>
  <c r="S46" i="2" s="1"/>
  <c r="T46" i="2" s="1"/>
  <c r="Q70" i="2"/>
  <c r="R70" i="2" s="1"/>
  <c r="S70" i="2" s="1"/>
  <c r="T70" i="2" s="1"/>
  <c r="S94" i="2"/>
  <c r="T94" i="2" s="1"/>
  <c r="S93" i="2"/>
  <c r="T93" i="2" s="1"/>
  <c r="S42" i="2"/>
  <c r="T42" i="2" s="1"/>
  <c r="Q66" i="2"/>
  <c r="R66" i="2" s="1"/>
  <c r="S66" i="2" s="1"/>
  <c r="T66" i="2" s="1"/>
  <c r="S41" i="2"/>
  <c r="T41" i="2" s="1"/>
  <c r="P72" i="2"/>
  <c r="O107" i="2"/>
  <c r="U107" i="2" s="1"/>
  <c r="P71" i="2"/>
  <c r="Q71" i="2" s="1"/>
  <c r="P106" i="2"/>
  <c r="Q106" i="2"/>
  <c r="R105" i="2"/>
  <c r="I113" i="2"/>
  <c r="I109" i="2"/>
  <c r="J108" i="2"/>
  <c r="K100" i="2"/>
  <c r="L99" i="2"/>
  <c r="M99" i="2" s="1"/>
  <c r="P95" i="2"/>
  <c r="O96" i="2"/>
  <c r="R47" i="2"/>
  <c r="AJ162" i="2" l="1"/>
  <c r="AM162" i="2" s="1"/>
  <c r="AO162" i="2" s="1"/>
  <c r="AP93" i="11"/>
  <c r="AP58" i="10"/>
  <c r="AP83" i="11"/>
  <c r="AN105" i="11" s="1"/>
  <c r="AO105" i="11" s="1"/>
  <c r="AP73" i="11"/>
  <c r="Z197" i="2"/>
  <c r="AC197" i="2" s="1"/>
  <c r="AF197" i="2" s="1"/>
  <c r="AH197" i="2" s="1"/>
  <c r="AI197" i="2" s="1"/>
  <c r="AP88" i="11"/>
  <c r="V175" i="2"/>
  <c r="X175" i="2" s="1"/>
  <c r="AN115" i="12"/>
  <c r="AO115" i="12" s="1"/>
  <c r="AN110" i="12"/>
  <c r="AO110" i="12" s="1"/>
  <c r="AN100" i="12"/>
  <c r="AO100" i="12" s="1"/>
  <c r="AN105" i="12"/>
  <c r="AO105" i="12" s="1"/>
  <c r="AN120" i="12"/>
  <c r="AO120" i="12" s="1"/>
  <c r="AA64" i="2"/>
  <c r="AD64" i="2" s="1"/>
  <c r="AG64" i="2" s="1"/>
  <c r="AN86" i="10"/>
  <c r="AO86" i="10" s="1"/>
  <c r="AN76" i="10"/>
  <c r="AN81" i="10"/>
  <c r="AN96" i="10"/>
  <c r="AO96" i="10" s="1"/>
  <c r="AN91" i="10"/>
  <c r="AO91" i="10" s="1"/>
  <c r="AN102" i="11"/>
  <c r="AO102" i="11" s="1"/>
  <c r="AN122" i="11"/>
  <c r="AN112" i="11"/>
  <c r="AN107" i="11"/>
  <c r="AN117" i="11"/>
  <c r="AN116" i="12"/>
  <c r="AO116" i="12" s="1"/>
  <c r="AN106" i="12"/>
  <c r="AO106" i="12" s="1"/>
  <c r="AN121" i="12"/>
  <c r="AO121" i="12" s="1"/>
  <c r="AN101" i="12"/>
  <c r="AO101" i="12" s="1"/>
  <c r="AN111" i="12"/>
  <c r="AO111" i="12" s="1"/>
  <c r="AN121" i="11"/>
  <c r="AN101" i="11"/>
  <c r="AO101" i="11" s="1"/>
  <c r="AN116" i="11"/>
  <c r="AN106" i="11"/>
  <c r="AO106" i="11" s="1"/>
  <c r="AN111" i="11"/>
  <c r="AN102" i="12"/>
  <c r="AO102" i="12" s="1"/>
  <c r="AN122" i="12"/>
  <c r="AO122" i="12" s="1"/>
  <c r="AN117" i="12"/>
  <c r="AO117" i="12" s="1"/>
  <c r="AN112" i="12"/>
  <c r="AO112" i="12" s="1"/>
  <c r="AN107" i="12"/>
  <c r="AO107" i="12" s="1"/>
  <c r="AP68" i="10"/>
  <c r="AN109" i="11"/>
  <c r="AN104" i="11"/>
  <c r="AO104" i="11" s="1"/>
  <c r="AN119" i="11"/>
  <c r="AN99" i="11"/>
  <c r="AO99" i="11" s="1"/>
  <c r="AN114" i="11"/>
  <c r="AN94" i="10"/>
  <c r="AO94" i="10" s="1"/>
  <c r="AN79" i="10"/>
  <c r="AO79" i="10" s="1"/>
  <c r="AN74" i="10"/>
  <c r="AO74" i="10" s="1"/>
  <c r="AP73" i="10" s="1"/>
  <c r="AN84" i="10"/>
  <c r="AO84" i="10" s="1"/>
  <c r="AN89" i="10"/>
  <c r="AO89" i="10" s="1"/>
  <c r="Y40" i="2"/>
  <c r="Z40" i="2" s="1"/>
  <c r="AC40" i="2" s="1"/>
  <c r="AF40" i="2" s="1"/>
  <c r="AB40" i="2"/>
  <c r="AE40" i="2" s="1"/>
  <c r="AH40" i="2" s="1"/>
  <c r="AI40" i="2" s="1"/>
  <c r="AN80" i="10"/>
  <c r="AO80" i="10" s="1"/>
  <c r="AP78" i="10" s="1"/>
  <c r="AN90" i="10"/>
  <c r="AO90" i="10" s="1"/>
  <c r="AN75" i="10"/>
  <c r="AN85" i="10"/>
  <c r="AO85" i="10" s="1"/>
  <c r="AN95" i="10"/>
  <c r="AO95" i="10" s="1"/>
  <c r="AN120" i="11"/>
  <c r="AN98" i="11"/>
  <c r="AO98" i="11" s="1"/>
  <c r="AN113" i="11"/>
  <c r="AN108" i="11"/>
  <c r="AN118" i="11"/>
  <c r="AN103" i="11"/>
  <c r="AO103" i="11" s="1"/>
  <c r="W68" i="2"/>
  <c r="AH193" i="2"/>
  <c r="AI193" i="2" s="1"/>
  <c r="X137" i="12"/>
  <c r="Z135" i="12"/>
  <c r="AC135" i="12" s="1"/>
  <c r="AF135" i="12" s="1"/>
  <c r="AH135" i="12" s="1"/>
  <c r="AI135" i="12" s="1"/>
  <c r="AH33" i="2"/>
  <c r="AI33" i="2" s="1"/>
  <c r="AJ33" i="2" s="1"/>
  <c r="X63" i="2"/>
  <c r="W63" i="2"/>
  <c r="AH168" i="2"/>
  <c r="AI168" i="2" s="1"/>
  <c r="AA89" i="2"/>
  <c r="AD89" i="2" s="1"/>
  <c r="AG89" i="2" s="1"/>
  <c r="X64" i="2"/>
  <c r="X118" i="11"/>
  <c r="AH110" i="10"/>
  <c r="AI110" i="10" s="1"/>
  <c r="AJ110" i="10" s="1"/>
  <c r="W116" i="10"/>
  <c r="X116" i="10"/>
  <c r="Y137" i="12"/>
  <c r="AL110" i="10"/>
  <c r="O125" i="10"/>
  <c r="P125" i="10" s="1"/>
  <c r="AK107" i="11"/>
  <c r="AL138" i="12"/>
  <c r="V122" i="10"/>
  <c r="AB112" i="10"/>
  <c r="AE112" i="10" s="1"/>
  <c r="Y112" i="10"/>
  <c r="Z112" i="10" s="1"/>
  <c r="AC112" i="10" s="1"/>
  <c r="AF112" i="10" s="1"/>
  <c r="Y111" i="10"/>
  <c r="Z111" i="10" s="1"/>
  <c r="AC111" i="10" s="1"/>
  <c r="AF111" i="10" s="1"/>
  <c r="AB111" i="10"/>
  <c r="AE111" i="10" s="1"/>
  <c r="AB117" i="10"/>
  <c r="AE117" i="10" s="1"/>
  <c r="Y117" i="10"/>
  <c r="Z117" i="10" s="1"/>
  <c r="AC117" i="10" s="1"/>
  <c r="AF117" i="10" s="1"/>
  <c r="AB118" i="11"/>
  <c r="AE118" i="11" s="1"/>
  <c r="V111" i="11"/>
  <c r="W111" i="11" s="1"/>
  <c r="AB111" i="11" s="1"/>
  <c r="AE111" i="11" s="1"/>
  <c r="AH108" i="11"/>
  <c r="AI108" i="11" s="1"/>
  <c r="AJ138" i="12"/>
  <c r="AA141" i="12"/>
  <c r="AD141" i="12" s="1"/>
  <c r="AG141" i="12" s="1"/>
  <c r="U147" i="12"/>
  <c r="V147" i="12" s="1"/>
  <c r="W147" i="12" s="1"/>
  <c r="U146" i="12"/>
  <c r="X141" i="12"/>
  <c r="W141" i="12"/>
  <c r="Y136" i="12"/>
  <c r="Z136" i="12" s="1"/>
  <c r="AC136" i="12" s="1"/>
  <c r="AF136" i="12" s="1"/>
  <c r="AB136" i="12"/>
  <c r="AE136" i="12" s="1"/>
  <c r="W140" i="12"/>
  <c r="X140" i="12"/>
  <c r="AJ134" i="12"/>
  <c r="AL134" i="12"/>
  <c r="AK134" i="12"/>
  <c r="AA142" i="12"/>
  <c r="AD142" i="12" s="1"/>
  <c r="AG142" i="12" s="1"/>
  <c r="Y143" i="12"/>
  <c r="Z143" i="12" s="1"/>
  <c r="AC143" i="12" s="1"/>
  <c r="AF143" i="12" s="1"/>
  <c r="AB143" i="12"/>
  <c r="AE143" i="12" s="1"/>
  <c r="V145" i="12"/>
  <c r="AJ135" i="12"/>
  <c r="AL135" i="12"/>
  <c r="AK135" i="12"/>
  <c r="AM133" i="12"/>
  <c r="AB139" i="12"/>
  <c r="AE139" i="12" s="1"/>
  <c r="Y139" i="12"/>
  <c r="Z139" i="12" s="1"/>
  <c r="AC139" i="12" s="1"/>
  <c r="AF139" i="12" s="1"/>
  <c r="V142" i="12"/>
  <c r="AB144" i="12"/>
  <c r="AE144" i="12" s="1"/>
  <c r="Y144" i="12"/>
  <c r="Z144" i="12" s="1"/>
  <c r="AC144" i="12" s="1"/>
  <c r="AF144" i="12" s="1"/>
  <c r="Z137" i="12"/>
  <c r="AC137" i="12" s="1"/>
  <c r="AF137" i="12" s="1"/>
  <c r="AH137" i="12" s="1"/>
  <c r="AI137" i="12" s="1"/>
  <c r="V115" i="11"/>
  <c r="AK108" i="11"/>
  <c r="AJ108" i="11"/>
  <c r="AL108" i="11"/>
  <c r="AH109" i="11"/>
  <c r="AI109" i="11" s="1"/>
  <c r="AK109" i="11" s="1"/>
  <c r="AM107" i="11"/>
  <c r="AO107" i="11" s="1"/>
  <c r="U112" i="11"/>
  <c r="Y111" i="11"/>
  <c r="U117" i="11"/>
  <c r="U116" i="11"/>
  <c r="V116" i="11" s="1"/>
  <c r="U120" i="11"/>
  <c r="V120" i="11" s="1"/>
  <c r="P124" i="11"/>
  <c r="Q124" i="11" s="1"/>
  <c r="AB113" i="11"/>
  <c r="AE113" i="11" s="1"/>
  <c r="Y113" i="11"/>
  <c r="Z113" i="11" s="1"/>
  <c r="AC113" i="11" s="1"/>
  <c r="AF113" i="11" s="1"/>
  <c r="R121" i="11"/>
  <c r="S121" i="11" s="1"/>
  <c r="T121" i="11" s="1"/>
  <c r="R123" i="11"/>
  <c r="S123" i="11" s="1"/>
  <c r="T123" i="11" s="1"/>
  <c r="X114" i="11"/>
  <c r="W114" i="11"/>
  <c r="V119" i="11"/>
  <c r="X110" i="11"/>
  <c r="W110" i="11"/>
  <c r="L126" i="11"/>
  <c r="M126" i="11" s="1"/>
  <c r="N126" i="11" s="1"/>
  <c r="K127" i="11"/>
  <c r="Q122" i="11"/>
  <c r="R122" i="11" s="1"/>
  <c r="S122" i="11" s="1"/>
  <c r="T122" i="11" s="1"/>
  <c r="O125" i="11"/>
  <c r="AJ109" i="11"/>
  <c r="AL109" i="11"/>
  <c r="Z118" i="11"/>
  <c r="AC118" i="11" s="1"/>
  <c r="AF118" i="11" s="1"/>
  <c r="AH118" i="11" s="1"/>
  <c r="AI118" i="11" s="1"/>
  <c r="AA115" i="10"/>
  <c r="AD115" i="10" s="1"/>
  <c r="AG115" i="10" s="1"/>
  <c r="W89" i="2"/>
  <c r="X89" i="2"/>
  <c r="Y64" i="2"/>
  <c r="Z64" i="2" s="1"/>
  <c r="AC64" i="2" s="1"/>
  <c r="AF64" i="2" s="1"/>
  <c r="AB64" i="2"/>
  <c r="AE64" i="2" s="1"/>
  <c r="W65" i="2"/>
  <c r="X65" i="2"/>
  <c r="V93" i="2"/>
  <c r="W93" i="2" s="1"/>
  <c r="AB93" i="2" s="1"/>
  <c r="AE93" i="2" s="1"/>
  <c r="U93" i="2"/>
  <c r="AA93" i="2" s="1"/>
  <c r="AD93" i="2" s="1"/>
  <c r="AG93" i="2" s="1"/>
  <c r="U41" i="2"/>
  <c r="V41" i="2" s="1"/>
  <c r="U94" i="2"/>
  <c r="AH192" i="2"/>
  <c r="AI192" i="2" s="1"/>
  <c r="Y38" i="2"/>
  <c r="AB38" i="2"/>
  <c r="AE38" i="2" s="1"/>
  <c r="AH187" i="2"/>
  <c r="AI187" i="2" s="1"/>
  <c r="AH172" i="2"/>
  <c r="AI172" i="2" s="1"/>
  <c r="AJ171" i="2"/>
  <c r="AL171" i="2"/>
  <c r="AK171" i="2"/>
  <c r="AB68" i="2"/>
  <c r="AE68" i="2" s="1"/>
  <c r="Y68" i="2"/>
  <c r="Z68" i="2" s="1"/>
  <c r="AC68" i="2" s="1"/>
  <c r="AF68" i="2" s="1"/>
  <c r="AA45" i="2"/>
  <c r="AD45" i="2" s="1"/>
  <c r="AG45" i="2" s="1"/>
  <c r="U66" i="2"/>
  <c r="V66" i="2" s="1"/>
  <c r="U70" i="2"/>
  <c r="V70" i="2" s="1"/>
  <c r="AL193" i="2"/>
  <c r="AJ193" i="2"/>
  <c r="AK193" i="2"/>
  <c r="W173" i="2"/>
  <c r="X173" i="2"/>
  <c r="AL163" i="2"/>
  <c r="AJ163" i="2"/>
  <c r="AK163" i="2"/>
  <c r="Y196" i="2"/>
  <c r="Z196" i="2" s="1"/>
  <c r="AC196" i="2" s="1"/>
  <c r="AF196" i="2" s="1"/>
  <c r="AB196" i="2"/>
  <c r="AE196" i="2" s="1"/>
  <c r="AL33" i="2"/>
  <c r="AK33" i="2"/>
  <c r="AB199" i="2"/>
  <c r="AE199" i="2" s="1"/>
  <c r="Y199" i="2"/>
  <c r="Z199" i="2" s="1"/>
  <c r="AC199" i="2" s="1"/>
  <c r="AF199" i="2" s="1"/>
  <c r="V198" i="2"/>
  <c r="AJ83" i="2"/>
  <c r="AL83" i="2"/>
  <c r="AK83" i="2"/>
  <c r="Z59" i="2"/>
  <c r="AC59" i="2" s="1"/>
  <c r="AF59" i="2" s="1"/>
  <c r="AH59" i="2" s="1"/>
  <c r="AI59" i="2" s="1"/>
  <c r="U42" i="2"/>
  <c r="AA42" i="2" s="1"/>
  <c r="AD42" i="2" s="1"/>
  <c r="AG42" i="2" s="1"/>
  <c r="U46" i="2"/>
  <c r="AA46" i="2" s="1"/>
  <c r="AD46" i="2" s="1"/>
  <c r="AG46" i="2" s="1"/>
  <c r="X84" i="2"/>
  <c r="W84" i="2"/>
  <c r="AJ37" i="2"/>
  <c r="AM37" i="2" s="1"/>
  <c r="AO37" i="2" s="1"/>
  <c r="AL37" i="2"/>
  <c r="X60" i="2"/>
  <c r="W60" i="2"/>
  <c r="V90" i="2"/>
  <c r="V69" i="2"/>
  <c r="AH58" i="2"/>
  <c r="AI58" i="2" s="1"/>
  <c r="W36" i="2"/>
  <c r="X36" i="2"/>
  <c r="W45" i="2"/>
  <c r="AA90" i="2"/>
  <c r="AD90" i="2" s="1"/>
  <c r="AG90" i="2" s="1"/>
  <c r="Z105" i="2"/>
  <c r="X105" i="2"/>
  <c r="AC105" i="2"/>
  <c r="AF105" i="2" s="1"/>
  <c r="V105" i="2"/>
  <c r="AB105" i="2"/>
  <c r="AE105" i="2" s="1"/>
  <c r="AD105" i="2"/>
  <c r="AG105" i="2" s="1"/>
  <c r="AA105" i="2"/>
  <c r="W105" i="2"/>
  <c r="Y105" i="2"/>
  <c r="AH43" i="2"/>
  <c r="AI43" i="2" s="1"/>
  <c r="AJ168" i="2"/>
  <c r="AL168" i="2"/>
  <c r="AK168" i="2"/>
  <c r="Z38" i="2"/>
  <c r="AC38" i="2" s="1"/>
  <c r="AF38" i="2" s="1"/>
  <c r="W44" i="2"/>
  <c r="X44" i="2"/>
  <c r="AA69" i="2"/>
  <c r="AD69" i="2" s="1"/>
  <c r="AG69" i="2" s="1"/>
  <c r="AL104" i="2"/>
  <c r="AJ104" i="2"/>
  <c r="AM104" i="2" s="1"/>
  <c r="AH39" i="2"/>
  <c r="AI39" i="2" s="1"/>
  <c r="AA65" i="2"/>
  <c r="AD65" i="2" s="1"/>
  <c r="AG65" i="2" s="1"/>
  <c r="V88" i="2"/>
  <c r="AA88" i="2"/>
  <c r="AD88" i="2" s="1"/>
  <c r="AG88" i="2" s="1"/>
  <c r="Z174" i="2"/>
  <c r="AC174" i="2" s="1"/>
  <c r="AF174" i="2" s="1"/>
  <c r="AH174" i="2" s="1"/>
  <c r="AI174" i="2" s="1"/>
  <c r="Y169" i="2"/>
  <c r="Z169" i="2" s="1"/>
  <c r="AC169" i="2" s="1"/>
  <c r="AF169" i="2" s="1"/>
  <c r="AB169" i="2"/>
  <c r="AE169" i="2" s="1"/>
  <c r="AH108" i="10"/>
  <c r="AI108" i="10" s="1"/>
  <c r="AL108" i="10" s="1"/>
  <c r="W115" i="10"/>
  <c r="X115" i="10"/>
  <c r="Y113" i="10"/>
  <c r="Z113" i="10" s="1"/>
  <c r="AC113" i="10" s="1"/>
  <c r="AF113" i="10" s="1"/>
  <c r="AB113" i="10"/>
  <c r="AE113" i="10" s="1"/>
  <c r="L126" i="10"/>
  <c r="M126" i="10" s="1"/>
  <c r="N126" i="10" s="1"/>
  <c r="O126" i="10" s="1"/>
  <c r="P126" i="10" s="1"/>
  <c r="K127" i="10"/>
  <c r="AH109" i="10"/>
  <c r="AI109" i="10" s="1"/>
  <c r="V119" i="10"/>
  <c r="AA119" i="10"/>
  <c r="AD119" i="10" s="1"/>
  <c r="AG119" i="10" s="1"/>
  <c r="R123" i="10"/>
  <c r="S123" i="10" s="1"/>
  <c r="T123" i="10" s="1"/>
  <c r="P124" i="10"/>
  <c r="AB118" i="10"/>
  <c r="AE118" i="10" s="1"/>
  <c r="Y118" i="10"/>
  <c r="Z118" i="10" s="1"/>
  <c r="AC118" i="10" s="1"/>
  <c r="AF118" i="10" s="1"/>
  <c r="U120" i="10"/>
  <c r="V120" i="10" s="1"/>
  <c r="X114" i="10"/>
  <c r="W114" i="10"/>
  <c r="R121" i="10"/>
  <c r="S121" i="10" s="1"/>
  <c r="T121" i="10" s="1"/>
  <c r="AM191" i="2"/>
  <c r="AO191" i="2" s="1"/>
  <c r="AM168" i="2"/>
  <c r="AO168" i="2" s="1"/>
  <c r="S106" i="2"/>
  <c r="T106" i="2" s="1"/>
  <c r="Q95" i="2"/>
  <c r="R95" i="2" s="1"/>
  <c r="S95" i="2" s="1"/>
  <c r="T95" i="2" s="1"/>
  <c r="S47" i="2"/>
  <c r="T47" i="2" s="1"/>
  <c r="I114" i="2"/>
  <c r="I118" i="2"/>
  <c r="J113" i="2"/>
  <c r="P107" i="2"/>
  <c r="Q107" i="2"/>
  <c r="R106" i="2"/>
  <c r="P96" i="2"/>
  <c r="K101" i="2"/>
  <c r="L100" i="2"/>
  <c r="M100" i="2" s="1"/>
  <c r="I110" i="2"/>
  <c r="J109" i="2"/>
  <c r="R71" i="2"/>
  <c r="Q72" i="2"/>
  <c r="R72" i="2" s="1"/>
  <c r="S72" i="2" s="1"/>
  <c r="T72" i="2" s="1"/>
  <c r="AN110" i="11" l="1"/>
  <c r="W175" i="2"/>
  <c r="AN100" i="11"/>
  <c r="AO100" i="11" s="1"/>
  <c r="AN115" i="11"/>
  <c r="AK197" i="2"/>
  <c r="AJ197" i="2"/>
  <c r="AL197" i="2"/>
  <c r="AP103" i="12"/>
  <c r="AN134" i="12" s="1"/>
  <c r="AP98" i="12"/>
  <c r="AN123" i="12" s="1"/>
  <c r="AO123" i="12" s="1"/>
  <c r="AJ40" i="2"/>
  <c r="AL40" i="2"/>
  <c r="AK40" i="2"/>
  <c r="AN143" i="12"/>
  <c r="AP83" i="10"/>
  <c r="AP108" i="12"/>
  <c r="AA70" i="2"/>
  <c r="AD70" i="2" s="1"/>
  <c r="AG70" i="2" s="1"/>
  <c r="AN118" i="10"/>
  <c r="AN108" i="10"/>
  <c r="AN113" i="10"/>
  <c r="AN98" i="10"/>
  <c r="AO98" i="10" s="1"/>
  <c r="AN103" i="10"/>
  <c r="AO103" i="10" s="1"/>
  <c r="AN82" i="10"/>
  <c r="AN97" i="10"/>
  <c r="AO97" i="10" s="1"/>
  <c r="AP93" i="10" s="1"/>
  <c r="AN77" i="10"/>
  <c r="AN87" i="10"/>
  <c r="AN92" i="10"/>
  <c r="AO92" i="10" s="1"/>
  <c r="AP88" i="10" s="1"/>
  <c r="AP113" i="12"/>
  <c r="AP103" i="11"/>
  <c r="AN144" i="11" s="1"/>
  <c r="AM138" i="12"/>
  <c r="AH117" i="10"/>
  <c r="AI117" i="10" s="1"/>
  <c r="AK117" i="10" s="1"/>
  <c r="AH112" i="10"/>
  <c r="AI112" i="10" s="1"/>
  <c r="AL112" i="10" s="1"/>
  <c r="AP118" i="12"/>
  <c r="AN99" i="10"/>
  <c r="AO99" i="10" s="1"/>
  <c r="AN109" i="10"/>
  <c r="AN114" i="10"/>
  <c r="AN104" i="10"/>
  <c r="AO104" i="10" s="1"/>
  <c r="AN119" i="10"/>
  <c r="AN139" i="12"/>
  <c r="AP98" i="11"/>
  <c r="AH68" i="2"/>
  <c r="AI68" i="2" s="1"/>
  <c r="W70" i="2"/>
  <c r="X70" i="2"/>
  <c r="X93" i="2"/>
  <c r="AK110" i="10"/>
  <c r="Y175" i="2"/>
  <c r="Z175" i="2" s="1"/>
  <c r="AC175" i="2" s="1"/>
  <c r="AF175" i="2" s="1"/>
  <c r="AB175" i="2"/>
  <c r="AE175" i="2" s="1"/>
  <c r="Y63" i="2"/>
  <c r="Z63" i="2" s="1"/>
  <c r="AC63" i="2" s="1"/>
  <c r="AF63" i="2" s="1"/>
  <c r="AB63" i="2"/>
  <c r="AE63" i="2" s="1"/>
  <c r="AH105" i="2"/>
  <c r="AI105" i="2" s="1"/>
  <c r="AB116" i="10"/>
  <c r="AE116" i="10" s="1"/>
  <c r="Y116" i="10"/>
  <c r="Z116" i="10" s="1"/>
  <c r="AC116" i="10" s="1"/>
  <c r="AF116" i="10" s="1"/>
  <c r="AM110" i="10"/>
  <c r="AH111" i="10"/>
  <c r="AI111" i="10" s="1"/>
  <c r="W122" i="10"/>
  <c r="X122" i="10"/>
  <c r="AJ117" i="10"/>
  <c r="AL117" i="10"/>
  <c r="AK112" i="10"/>
  <c r="AJ112" i="10"/>
  <c r="AM112" i="10" s="1"/>
  <c r="AO112" i="10" s="1"/>
  <c r="Q125" i="10"/>
  <c r="R125" i="10" s="1"/>
  <c r="S125" i="10" s="1"/>
  <c r="T125" i="10" s="1"/>
  <c r="Q126" i="10"/>
  <c r="R126" i="10" s="1"/>
  <c r="S126" i="10" s="1"/>
  <c r="T126" i="10" s="1"/>
  <c r="X111" i="11"/>
  <c r="AH143" i="12"/>
  <c r="AI143" i="12" s="1"/>
  <c r="AL143" i="12" s="1"/>
  <c r="AL137" i="12"/>
  <c r="AJ137" i="12"/>
  <c r="AK137" i="12"/>
  <c r="Y147" i="12"/>
  <c r="AB147" i="12"/>
  <c r="AE147" i="12" s="1"/>
  <c r="X142" i="12"/>
  <c r="W142" i="12"/>
  <c r="AH144" i="12"/>
  <c r="AI144" i="12" s="1"/>
  <c r="AB140" i="12"/>
  <c r="AE140" i="12" s="1"/>
  <c r="Y140" i="12"/>
  <c r="Z140" i="12" s="1"/>
  <c r="AC140" i="12" s="1"/>
  <c r="AF140" i="12" s="1"/>
  <c r="X147" i="12"/>
  <c r="AJ143" i="12"/>
  <c r="AB141" i="12"/>
  <c r="AE141" i="12" s="1"/>
  <c r="Y141" i="12"/>
  <c r="Z141" i="12" s="1"/>
  <c r="AC141" i="12" s="1"/>
  <c r="AF141" i="12" s="1"/>
  <c r="AA146" i="12"/>
  <c r="AD146" i="12" s="1"/>
  <c r="AG146" i="12" s="1"/>
  <c r="W145" i="12"/>
  <c r="X145" i="12"/>
  <c r="AH139" i="12"/>
  <c r="AI139" i="12" s="1"/>
  <c r="AM135" i="12"/>
  <c r="AM134" i="12"/>
  <c r="AH136" i="12"/>
  <c r="AI136" i="12" s="1"/>
  <c r="V146" i="12"/>
  <c r="AA147" i="12"/>
  <c r="AD147" i="12" s="1"/>
  <c r="AG147" i="12" s="1"/>
  <c r="AN139" i="11"/>
  <c r="AM109" i="11"/>
  <c r="AO109" i="11" s="1"/>
  <c r="AH113" i="11"/>
  <c r="AI113" i="11" s="1"/>
  <c r="AL113" i="11" s="1"/>
  <c r="AA120" i="11"/>
  <c r="AD120" i="11" s="1"/>
  <c r="AG120" i="11" s="1"/>
  <c r="AM108" i="11"/>
  <c r="AO108" i="11" s="1"/>
  <c r="AA116" i="11"/>
  <c r="AD116" i="11" s="1"/>
  <c r="AG116" i="11" s="1"/>
  <c r="W115" i="11"/>
  <c r="X115" i="11"/>
  <c r="W116" i="11"/>
  <c r="X116" i="11"/>
  <c r="U122" i="11"/>
  <c r="U123" i="11"/>
  <c r="AA123" i="11" s="1"/>
  <c r="AD123" i="11" s="1"/>
  <c r="AG123" i="11" s="1"/>
  <c r="X120" i="11"/>
  <c r="W120" i="11"/>
  <c r="AJ118" i="11"/>
  <c r="AL118" i="11"/>
  <c r="AK118" i="11"/>
  <c r="AB110" i="11"/>
  <c r="AE110" i="11" s="1"/>
  <c r="Y110" i="11"/>
  <c r="Z110" i="11" s="1"/>
  <c r="AC110" i="11" s="1"/>
  <c r="AF110" i="11" s="1"/>
  <c r="V117" i="11"/>
  <c r="AA117" i="11"/>
  <c r="AD117" i="11" s="1"/>
  <c r="AG117" i="11" s="1"/>
  <c r="V112" i="11"/>
  <c r="AA112" i="11"/>
  <c r="AD112" i="11" s="1"/>
  <c r="AG112" i="11" s="1"/>
  <c r="AB114" i="11"/>
  <c r="AE114" i="11" s="1"/>
  <c r="Y114" i="11"/>
  <c r="Z114" i="11" s="1"/>
  <c r="AC114" i="11" s="1"/>
  <c r="AF114" i="11" s="1"/>
  <c r="P125" i="11"/>
  <c r="Q125" i="11" s="1"/>
  <c r="L127" i="11"/>
  <c r="M127" i="11" s="1"/>
  <c r="N127" i="11" s="1"/>
  <c r="K128" i="11"/>
  <c r="U121" i="11"/>
  <c r="O126" i="11"/>
  <c r="X119" i="11"/>
  <c r="W119" i="11"/>
  <c r="R124" i="11"/>
  <c r="S124" i="11" s="1"/>
  <c r="T124" i="11" s="1"/>
  <c r="Z111" i="11"/>
  <c r="AC111" i="11" s="1"/>
  <c r="AF111" i="11" s="1"/>
  <c r="AH111" i="11" s="1"/>
  <c r="AI111" i="11" s="1"/>
  <c r="AK108" i="10"/>
  <c r="AJ108" i="10"/>
  <c r="AH118" i="10"/>
  <c r="AI118" i="10" s="1"/>
  <c r="AK118" i="10" s="1"/>
  <c r="AB70" i="2"/>
  <c r="AE70" i="2" s="1"/>
  <c r="Y70" i="2"/>
  <c r="Z70" i="2" s="1"/>
  <c r="AC70" i="2" s="1"/>
  <c r="AF70" i="2" s="1"/>
  <c r="AL59" i="2"/>
  <c r="AJ59" i="2"/>
  <c r="AK59" i="2"/>
  <c r="AJ174" i="2"/>
  <c r="AL174" i="2"/>
  <c r="AK174" i="2"/>
  <c r="X41" i="2"/>
  <c r="W41" i="2"/>
  <c r="X66" i="2"/>
  <c r="W66" i="2"/>
  <c r="AC106" i="2"/>
  <c r="AF106" i="2" s="1"/>
  <c r="AB106" i="2"/>
  <c r="AE106" i="2" s="1"/>
  <c r="AA106" i="2"/>
  <c r="W106" i="2"/>
  <c r="V106" i="2"/>
  <c r="X106" i="2"/>
  <c r="Y106" i="2"/>
  <c r="AD106" i="2"/>
  <c r="AG106" i="2" s="1"/>
  <c r="Z106" i="2"/>
  <c r="U47" i="2"/>
  <c r="AA47" i="2" s="1"/>
  <c r="AD47" i="2" s="1"/>
  <c r="AG47" i="2" s="1"/>
  <c r="AJ39" i="2"/>
  <c r="AL39" i="2"/>
  <c r="AK39" i="2"/>
  <c r="Y173" i="2"/>
  <c r="Z173" i="2" s="1"/>
  <c r="AC173" i="2" s="1"/>
  <c r="AF173" i="2" s="1"/>
  <c r="AH173" i="2" s="1"/>
  <c r="AI173" i="2" s="1"/>
  <c r="AB173" i="2"/>
  <c r="AE173" i="2" s="1"/>
  <c r="AL68" i="2"/>
  <c r="AJ68" i="2"/>
  <c r="AK68" i="2"/>
  <c r="Y65" i="2"/>
  <c r="Z65" i="2" s="1"/>
  <c r="AC65" i="2" s="1"/>
  <c r="AF65" i="2" s="1"/>
  <c r="AB65" i="2"/>
  <c r="AE65" i="2" s="1"/>
  <c r="Y89" i="2"/>
  <c r="Z89" i="2" s="1"/>
  <c r="AC89" i="2" s="1"/>
  <c r="AF89" i="2" s="1"/>
  <c r="AB89" i="2"/>
  <c r="AE89" i="2" s="1"/>
  <c r="U95" i="2"/>
  <c r="AA95" i="2" s="1"/>
  <c r="AD95" i="2" s="1"/>
  <c r="AG95" i="2" s="1"/>
  <c r="AH169" i="2"/>
  <c r="AI169" i="2" s="1"/>
  <c r="AL43" i="2"/>
  <c r="AJ43" i="2"/>
  <c r="AK43" i="2"/>
  <c r="Y36" i="2"/>
  <c r="Z36" i="2" s="1"/>
  <c r="AC36" i="2" s="1"/>
  <c r="AF36" i="2" s="1"/>
  <c r="AB36" i="2"/>
  <c r="AE36" i="2" s="1"/>
  <c r="X90" i="2"/>
  <c r="W90" i="2"/>
  <c r="V46" i="2"/>
  <c r="AH199" i="2"/>
  <c r="AI199" i="2" s="1"/>
  <c r="AL172" i="2"/>
  <c r="AM172" i="2" s="1"/>
  <c r="AO172" i="2" s="1"/>
  <c r="AJ172" i="2"/>
  <c r="AK172" i="2"/>
  <c r="AL192" i="2"/>
  <c r="AJ192" i="2"/>
  <c r="AK192" i="2"/>
  <c r="Y93" i="2"/>
  <c r="Z93" i="2" s="1"/>
  <c r="AC93" i="2" s="1"/>
  <c r="AF93" i="2" s="1"/>
  <c r="AH93" i="2" s="1"/>
  <c r="AI93" i="2" s="1"/>
  <c r="AK93" i="2" s="1"/>
  <c r="AH64" i="2"/>
  <c r="AI64" i="2" s="1"/>
  <c r="W88" i="2"/>
  <c r="X88" i="2"/>
  <c r="AL105" i="2"/>
  <c r="AJ105" i="2"/>
  <c r="AJ58" i="2"/>
  <c r="AM58" i="2" s="1"/>
  <c r="AO58" i="2" s="1"/>
  <c r="AL58" i="2"/>
  <c r="AK58" i="2"/>
  <c r="AB60" i="2"/>
  <c r="AE60" i="2" s="1"/>
  <c r="Y60" i="2"/>
  <c r="Z60" i="2" s="1"/>
  <c r="AC60" i="2" s="1"/>
  <c r="AF60" i="2" s="1"/>
  <c r="AH196" i="2"/>
  <c r="AI196" i="2" s="1"/>
  <c r="AL187" i="2"/>
  <c r="AJ187" i="2"/>
  <c r="AK187" i="2"/>
  <c r="V94" i="2"/>
  <c r="U72" i="2"/>
  <c r="AA72" i="2" s="1"/>
  <c r="AD72" i="2" s="1"/>
  <c r="AG72" i="2" s="1"/>
  <c r="Y44" i="2"/>
  <c r="Z44" i="2" s="1"/>
  <c r="AC44" i="2" s="1"/>
  <c r="AF44" i="2" s="1"/>
  <c r="AB44" i="2"/>
  <c r="AE44" i="2" s="1"/>
  <c r="Y45" i="2"/>
  <c r="Z45" i="2" s="1"/>
  <c r="AC45" i="2" s="1"/>
  <c r="AF45" i="2" s="1"/>
  <c r="AB45" i="2"/>
  <c r="AE45" i="2" s="1"/>
  <c r="W69" i="2"/>
  <c r="X69" i="2"/>
  <c r="AB84" i="2"/>
  <c r="AE84" i="2" s="1"/>
  <c r="Y84" i="2"/>
  <c r="Z84" i="2" s="1"/>
  <c r="AC84" i="2" s="1"/>
  <c r="AF84" i="2" s="1"/>
  <c r="V42" i="2"/>
  <c r="W198" i="2"/>
  <c r="X198" i="2"/>
  <c r="AA66" i="2"/>
  <c r="AD66" i="2" s="1"/>
  <c r="AG66" i="2" s="1"/>
  <c r="AH38" i="2"/>
  <c r="AI38" i="2" s="1"/>
  <c r="AA94" i="2"/>
  <c r="AD94" i="2" s="1"/>
  <c r="AG94" i="2" s="1"/>
  <c r="AA41" i="2"/>
  <c r="AD41" i="2" s="1"/>
  <c r="AG41" i="2" s="1"/>
  <c r="W120" i="10"/>
  <c r="Y120" i="10" s="1"/>
  <c r="X120" i="10"/>
  <c r="U121" i="10"/>
  <c r="AJ118" i="10"/>
  <c r="U123" i="10"/>
  <c r="V123" i="10" s="1"/>
  <c r="K128" i="10"/>
  <c r="L127" i="10"/>
  <c r="M127" i="10" s="1"/>
  <c r="N127" i="10" s="1"/>
  <c r="O127" i="10" s="1"/>
  <c r="P127" i="10" s="1"/>
  <c r="AJ109" i="10"/>
  <c r="AL109" i="10"/>
  <c r="AK109" i="10"/>
  <c r="Q124" i="10"/>
  <c r="R124" i="10" s="1"/>
  <c r="S124" i="10" s="1"/>
  <c r="T124" i="10" s="1"/>
  <c r="AB114" i="10"/>
  <c r="AE114" i="10" s="1"/>
  <c r="Y114" i="10"/>
  <c r="Z114" i="10" s="1"/>
  <c r="AC114" i="10" s="1"/>
  <c r="AF114" i="10" s="1"/>
  <c r="AA120" i="10"/>
  <c r="AD120" i="10" s="1"/>
  <c r="AG120" i="10" s="1"/>
  <c r="X119" i="10"/>
  <c r="W119" i="10"/>
  <c r="AH113" i="10"/>
  <c r="AI113" i="10" s="1"/>
  <c r="Y115" i="10"/>
  <c r="Z115" i="10" s="1"/>
  <c r="AC115" i="10" s="1"/>
  <c r="AF115" i="10" s="1"/>
  <c r="AB115" i="10"/>
  <c r="AE115" i="10" s="1"/>
  <c r="AM167" i="2"/>
  <c r="AO167" i="2" s="1"/>
  <c r="AM163" i="2"/>
  <c r="AO163" i="2" s="1"/>
  <c r="AP161" i="2" s="1"/>
  <c r="AM171" i="2"/>
  <c r="AO171" i="2" s="1"/>
  <c r="S107" i="2"/>
  <c r="T107" i="2" s="1"/>
  <c r="S71" i="2"/>
  <c r="T71" i="2" s="1"/>
  <c r="Q96" i="2"/>
  <c r="R96" i="2" s="1"/>
  <c r="K102" i="2"/>
  <c r="L101" i="2"/>
  <c r="M101" i="2" s="1"/>
  <c r="I119" i="2"/>
  <c r="J118" i="2"/>
  <c r="I111" i="2"/>
  <c r="J110" i="2"/>
  <c r="N110" i="2" s="1"/>
  <c r="AK110" i="2" s="1"/>
  <c r="R107" i="2"/>
  <c r="I115" i="2"/>
  <c r="J114" i="2"/>
  <c r="AO134" i="12" l="1"/>
  <c r="AN134" i="11"/>
  <c r="AN124" i="12"/>
  <c r="AO124" i="12" s="1"/>
  <c r="AN129" i="11"/>
  <c r="AN129" i="12"/>
  <c r="AO129" i="12" s="1"/>
  <c r="AN144" i="12"/>
  <c r="AN124" i="11"/>
  <c r="AN133" i="12"/>
  <c r="AO133" i="12" s="1"/>
  <c r="AN128" i="12"/>
  <c r="AO128" i="12" s="1"/>
  <c r="AN138" i="12"/>
  <c r="AO138" i="12" s="1"/>
  <c r="AH175" i="2"/>
  <c r="AI175" i="2" s="1"/>
  <c r="AH45" i="2"/>
  <c r="AI45" i="2" s="1"/>
  <c r="AN142" i="12"/>
  <c r="AN127" i="12"/>
  <c r="AO127" i="12" s="1"/>
  <c r="AN137" i="12"/>
  <c r="AN132" i="12"/>
  <c r="AO132" i="12" s="1"/>
  <c r="AN147" i="12"/>
  <c r="AN123" i="11"/>
  <c r="AN128" i="11"/>
  <c r="AN133" i="11"/>
  <c r="AN143" i="11"/>
  <c r="AN138" i="11"/>
  <c r="AN146" i="12"/>
  <c r="AN126" i="12"/>
  <c r="AO126" i="12" s="1"/>
  <c r="AN141" i="12"/>
  <c r="AN136" i="12"/>
  <c r="AN131" i="12"/>
  <c r="AO131" i="12" s="1"/>
  <c r="AN122" i="10"/>
  <c r="AN117" i="10"/>
  <c r="AN102" i="10"/>
  <c r="AO102" i="10" s="1"/>
  <c r="AN112" i="10"/>
  <c r="AN107" i="10"/>
  <c r="AN130" i="12"/>
  <c r="AO130" i="12" s="1"/>
  <c r="AN125" i="12"/>
  <c r="AO125" i="12" s="1"/>
  <c r="AN135" i="12"/>
  <c r="AO135" i="12" s="1"/>
  <c r="AN140" i="12"/>
  <c r="AN145" i="12"/>
  <c r="AN121" i="10"/>
  <c r="AN106" i="10"/>
  <c r="AN101" i="10"/>
  <c r="AO101" i="10" s="1"/>
  <c r="AN111" i="10"/>
  <c r="AN116" i="10"/>
  <c r="AN115" i="10"/>
  <c r="AN100" i="10"/>
  <c r="AO100" i="10" s="1"/>
  <c r="AP98" i="10" s="1"/>
  <c r="AN110" i="10"/>
  <c r="AO110" i="10" s="1"/>
  <c r="AN120" i="10"/>
  <c r="AN105" i="10"/>
  <c r="AO105" i="10" s="1"/>
  <c r="AP103" i="10" s="1"/>
  <c r="AP123" i="12"/>
  <c r="AH116" i="10"/>
  <c r="AI116" i="10" s="1"/>
  <c r="AJ116" i="10" s="1"/>
  <c r="AH63" i="2"/>
  <c r="AI63" i="2" s="1"/>
  <c r="AH44" i="2"/>
  <c r="AI44" i="2" s="1"/>
  <c r="AH60" i="2"/>
  <c r="AI60" i="2" s="1"/>
  <c r="AH106" i="2"/>
  <c r="AI106" i="2" s="1"/>
  <c r="AM108" i="10"/>
  <c r="AO108" i="10" s="1"/>
  <c r="U126" i="10"/>
  <c r="AA126" i="10" s="1"/>
  <c r="AD126" i="10" s="1"/>
  <c r="AG126" i="10" s="1"/>
  <c r="Q127" i="10"/>
  <c r="R127" i="10" s="1"/>
  <c r="S127" i="10" s="1"/>
  <c r="T127" i="10" s="1"/>
  <c r="U125" i="10"/>
  <c r="V125" i="10" s="1"/>
  <c r="W125" i="10" s="1"/>
  <c r="AB125" i="10" s="1"/>
  <c r="AE125" i="10" s="1"/>
  <c r="AK143" i="12"/>
  <c r="AM143" i="12" s="1"/>
  <c r="AO143" i="12" s="1"/>
  <c r="Y122" i="10"/>
  <c r="Z122" i="10" s="1"/>
  <c r="AC122" i="10" s="1"/>
  <c r="AF122" i="10" s="1"/>
  <c r="AB122" i="10"/>
  <c r="AE122" i="10" s="1"/>
  <c r="AL118" i="10"/>
  <c r="AM117" i="10"/>
  <c r="AO117" i="10" s="1"/>
  <c r="AK111" i="10"/>
  <c r="AJ111" i="10"/>
  <c r="AL111" i="10"/>
  <c r="AK113" i="11"/>
  <c r="Z147" i="12"/>
  <c r="AC147" i="12" s="1"/>
  <c r="AF147" i="12" s="1"/>
  <c r="AH147" i="12" s="1"/>
  <c r="AI147" i="12" s="1"/>
  <c r="W146" i="12"/>
  <c r="X146" i="12"/>
  <c r="AB142" i="12"/>
  <c r="AE142" i="12" s="1"/>
  <c r="Y142" i="12"/>
  <c r="Z142" i="12" s="1"/>
  <c r="AC142" i="12" s="1"/>
  <c r="AF142" i="12" s="1"/>
  <c r="AL136" i="12"/>
  <c r="AJ136" i="12"/>
  <c r="AK136" i="12"/>
  <c r="AH140" i="12"/>
  <c r="AI140" i="12" s="1"/>
  <c r="AM137" i="12"/>
  <c r="AO137" i="12" s="1"/>
  <c r="AJ139" i="12"/>
  <c r="AL139" i="12"/>
  <c r="AK139" i="12"/>
  <c r="AB145" i="12"/>
  <c r="AE145" i="12" s="1"/>
  <c r="Y145" i="12"/>
  <c r="Z145" i="12" s="1"/>
  <c r="AC145" i="12" s="1"/>
  <c r="AF145" i="12" s="1"/>
  <c r="AH141" i="12"/>
  <c r="AI141" i="12" s="1"/>
  <c r="AJ144" i="12"/>
  <c r="AL144" i="12"/>
  <c r="AK144" i="12"/>
  <c r="AJ113" i="11"/>
  <c r="Y115" i="11"/>
  <c r="Z115" i="11" s="1"/>
  <c r="AC115" i="11" s="1"/>
  <c r="AF115" i="11" s="1"/>
  <c r="AB115" i="11"/>
  <c r="AE115" i="11" s="1"/>
  <c r="Y120" i="11"/>
  <c r="Z120" i="11" s="1"/>
  <c r="AC120" i="11" s="1"/>
  <c r="AF120" i="11" s="1"/>
  <c r="AB120" i="11"/>
  <c r="AE120" i="11" s="1"/>
  <c r="V122" i="11"/>
  <c r="V121" i="11"/>
  <c r="AA121" i="11"/>
  <c r="AD121" i="11" s="1"/>
  <c r="AG121" i="11" s="1"/>
  <c r="L128" i="11"/>
  <c r="M128" i="11" s="1"/>
  <c r="N128" i="11" s="1"/>
  <c r="K129" i="11"/>
  <c r="X112" i="11"/>
  <c r="W112" i="11"/>
  <c r="AA122" i="11"/>
  <c r="AD122" i="11" s="1"/>
  <c r="AG122" i="11" s="1"/>
  <c r="AB119" i="11"/>
  <c r="AE119" i="11" s="1"/>
  <c r="Y119" i="11"/>
  <c r="Z119" i="11" s="1"/>
  <c r="AC119" i="11" s="1"/>
  <c r="AF119" i="11" s="1"/>
  <c r="U124" i="11"/>
  <c r="AA124" i="11" s="1"/>
  <c r="AD124" i="11" s="1"/>
  <c r="AG124" i="11" s="1"/>
  <c r="O127" i="11"/>
  <c r="P126" i="11"/>
  <c r="AL111" i="11"/>
  <c r="AJ111" i="11"/>
  <c r="AK111" i="11"/>
  <c r="R125" i="11"/>
  <c r="S125" i="11" s="1"/>
  <c r="T125" i="11" s="1"/>
  <c r="AH114" i="11"/>
  <c r="AI114" i="11" s="1"/>
  <c r="X117" i="11"/>
  <c r="W117" i="11"/>
  <c r="AH110" i="11"/>
  <c r="AI110" i="11" s="1"/>
  <c r="AM118" i="11"/>
  <c r="AO118" i="11" s="1"/>
  <c r="V123" i="11"/>
  <c r="Y116" i="11"/>
  <c r="Z116" i="11" s="1"/>
  <c r="AC116" i="11" s="1"/>
  <c r="AF116" i="11" s="1"/>
  <c r="AB116" i="11"/>
  <c r="AE116" i="11" s="1"/>
  <c r="Z120" i="10"/>
  <c r="AC120" i="10" s="1"/>
  <c r="AF120" i="10" s="1"/>
  <c r="AH114" i="10"/>
  <c r="AI114" i="10" s="1"/>
  <c r="AL114" i="10" s="1"/>
  <c r="AB120" i="10"/>
  <c r="AE120" i="10" s="1"/>
  <c r="AB107" i="2"/>
  <c r="AE107" i="2" s="1"/>
  <c r="Z107" i="2"/>
  <c r="AD107" i="2"/>
  <c r="AG107" i="2" s="1"/>
  <c r="AC107" i="2"/>
  <c r="AF107" i="2" s="1"/>
  <c r="V107" i="2"/>
  <c r="W107" i="2"/>
  <c r="Y107" i="2"/>
  <c r="AA107" i="2"/>
  <c r="X107" i="2"/>
  <c r="AB88" i="2"/>
  <c r="AE88" i="2" s="1"/>
  <c r="Y88" i="2"/>
  <c r="Z88" i="2" s="1"/>
  <c r="AC88" i="2" s="1"/>
  <c r="AF88" i="2" s="1"/>
  <c r="AB90" i="2"/>
  <c r="AE90" i="2" s="1"/>
  <c r="Y90" i="2"/>
  <c r="Z90" i="2" s="1"/>
  <c r="AC90" i="2" s="1"/>
  <c r="AF90" i="2" s="1"/>
  <c r="AH90" i="2" s="1"/>
  <c r="AI90" i="2" s="1"/>
  <c r="V95" i="2"/>
  <c r="AH89" i="2"/>
  <c r="AI89" i="2" s="1"/>
  <c r="AL173" i="2"/>
  <c r="AJ173" i="2"/>
  <c r="AK173" i="2"/>
  <c r="W42" i="2"/>
  <c r="X42" i="2"/>
  <c r="Y69" i="2"/>
  <c r="Z69" i="2" s="1"/>
  <c r="AC69" i="2" s="1"/>
  <c r="AF69" i="2" s="1"/>
  <c r="AB69" i="2"/>
  <c r="AE69" i="2" s="1"/>
  <c r="AJ44" i="2"/>
  <c r="AL44" i="2"/>
  <c r="AK44" i="2"/>
  <c r="AM187" i="2"/>
  <c r="AO187" i="2" s="1"/>
  <c r="AL60" i="2"/>
  <c r="AJ60" i="2"/>
  <c r="AK60" i="2"/>
  <c r="AL64" i="2"/>
  <c r="AJ64" i="2"/>
  <c r="AK64" i="2"/>
  <c r="AL199" i="2"/>
  <c r="AJ199" i="2"/>
  <c r="AK199" i="2"/>
  <c r="Y66" i="2"/>
  <c r="Z66" i="2" s="1"/>
  <c r="AC66" i="2" s="1"/>
  <c r="AF66" i="2" s="1"/>
  <c r="AB66" i="2"/>
  <c r="AE66" i="2" s="1"/>
  <c r="AL38" i="2"/>
  <c r="AJ38" i="2"/>
  <c r="AK38" i="2"/>
  <c r="AJ45" i="2"/>
  <c r="AL45" i="2"/>
  <c r="AK45" i="2"/>
  <c r="V72" i="2"/>
  <c r="AJ93" i="2"/>
  <c r="AL93" i="2"/>
  <c r="W46" i="2"/>
  <c r="X46" i="2"/>
  <c r="AH36" i="2"/>
  <c r="AI36" i="2" s="1"/>
  <c r="AH65" i="2"/>
  <c r="AI65" i="2" s="1"/>
  <c r="V47" i="2"/>
  <c r="U71" i="2"/>
  <c r="AA71" i="2" s="1"/>
  <c r="AD71" i="2" s="1"/>
  <c r="AG71" i="2" s="1"/>
  <c r="Y198" i="2"/>
  <c r="Z198" i="2" s="1"/>
  <c r="AC198" i="2" s="1"/>
  <c r="AF198" i="2" s="1"/>
  <c r="AB198" i="2"/>
  <c r="AE198" i="2" s="1"/>
  <c r="AH84" i="2"/>
  <c r="AI84" i="2" s="1"/>
  <c r="X94" i="2"/>
  <c r="W94" i="2"/>
  <c r="AJ196" i="2"/>
  <c r="AL196" i="2"/>
  <c r="AK196" i="2"/>
  <c r="AJ169" i="2"/>
  <c r="AL169" i="2"/>
  <c r="AK169" i="2"/>
  <c r="AL106" i="2"/>
  <c r="AJ106" i="2"/>
  <c r="Y41" i="2"/>
  <c r="Z41" i="2" s="1"/>
  <c r="AC41" i="2" s="1"/>
  <c r="AF41" i="2" s="1"/>
  <c r="AB41" i="2"/>
  <c r="AE41" i="2" s="1"/>
  <c r="AH70" i="2"/>
  <c r="AI70" i="2" s="1"/>
  <c r="X123" i="10"/>
  <c r="W123" i="10"/>
  <c r="AA123" i="10"/>
  <c r="AD123" i="10" s="1"/>
  <c r="AG123" i="10" s="1"/>
  <c r="U124" i="10"/>
  <c r="V124" i="10" s="1"/>
  <c r="AB119" i="10"/>
  <c r="AE119" i="10" s="1"/>
  <c r="Y119" i="10"/>
  <c r="Z119" i="10" s="1"/>
  <c r="AC119" i="10" s="1"/>
  <c r="AF119" i="10" s="1"/>
  <c r="AH115" i="10"/>
  <c r="AI115" i="10" s="1"/>
  <c r="AM109" i="10"/>
  <c r="AO109" i="10" s="1"/>
  <c r="AJ114" i="10"/>
  <c r="K129" i="10"/>
  <c r="L128" i="10"/>
  <c r="M128" i="10" s="1"/>
  <c r="N128" i="10" s="1"/>
  <c r="AJ113" i="10"/>
  <c r="AL113" i="10"/>
  <c r="AK113" i="10"/>
  <c r="AM118" i="10"/>
  <c r="AO118" i="10" s="1"/>
  <c r="V121" i="10"/>
  <c r="AA121" i="10"/>
  <c r="AD121" i="10" s="1"/>
  <c r="AG121" i="10" s="1"/>
  <c r="AM105" i="2"/>
  <c r="AM43" i="2"/>
  <c r="AO43" i="2" s="1"/>
  <c r="AM59" i="2"/>
  <c r="AO59" i="2" s="1"/>
  <c r="AM199" i="2"/>
  <c r="AM60" i="2"/>
  <c r="AM40" i="2"/>
  <c r="AO40" i="2" s="1"/>
  <c r="AM34" i="2"/>
  <c r="AO34" i="2" s="1"/>
  <c r="AN183" i="2"/>
  <c r="AO183" i="2" s="1"/>
  <c r="AN178" i="2"/>
  <c r="AO178" i="2" s="1"/>
  <c r="AN198" i="2"/>
  <c r="AN188" i="2"/>
  <c r="AO188" i="2" s="1"/>
  <c r="AN193" i="2"/>
  <c r="S96" i="2"/>
  <c r="T96" i="2" s="1"/>
  <c r="I112" i="2"/>
  <c r="J112" i="2" s="1"/>
  <c r="N112" i="2" s="1"/>
  <c r="AK112" i="2" s="1"/>
  <c r="J111" i="2"/>
  <c r="N111" i="2" s="1"/>
  <c r="AK111" i="2" s="1"/>
  <c r="I120" i="2"/>
  <c r="J119" i="2"/>
  <c r="I116" i="2"/>
  <c r="J115" i="2"/>
  <c r="K103" i="2"/>
  <c r="L102" i="2"/>
  <c r="M102" i="2" s="1"/>
  <c r="O110" i="2"/>
  <c r="U110" i="2" s="1"/>
  <c r="V126" i="10" l="1"/>
  <c r="W126" i="10" s="1"/>
  <c r="AB126" i="10" s="1"/>
  <c r="AE126" i="10" s="1"/>
  <c r="AJ175" i="2"/>
  <c r="AL175" i="2"/>
  <c r="AK175" i="2"/>
  <c r="AN128" i="10"/>
  <c r="AN143" i="10"/>
  <c r="AN133" i="10"/>
  <c r="AN123" i="10"/>
  <c r="AN138" i="10"/>
  <c r="AN129" i="10"/>
  <c r="AN144" i="10"/>
  <c r="AN134" i="10"/>
  <c r="AN139" i="10"/>
  <c r="AN124" i="10"/>
  <c r="AP128" i="12"/>
  <c r="AK116" i="10"/>
  <c r="AL116" i="10"/>
  <c r="AK114" i="10"/>
  <c r="AA125" i="10"/>
  <c r="AD125" i="10" s="1"/>
  <c r="AG125" i="10" s="1"/>
  <c r="AH69" i="2"/>
  <c r="AI69" i="2" s="1"/>
  <c r="V71" i="2"/>
  <c r="W71" i="2" s="1"/>
  <c r="AM169" i="2"/>
  <c r="AO169" i="2" s="1"/>
  <c r="AP166" i="2" s="1"/>
  <c r="AH41" i="2"/>
  <c r="AI41" i="2" s="1"/>
  <c r="AK63" i="2"/>
  <c r="AL63" i="2"/>
  <c r="AJ63" i="2"/>
  <c r="Y126" i="10"/>
  <c r="U127" i="10"/>
  <c r="AA127" i="10" s="1"/>
  <c r="AD127" i="10" s="1"/>
  <c r="AG127" i="10" s="1"/>
  <c r="AM113" i="11"/>
  <c r="AO113" i="11" s="1"/>
  <c r="AM111" i="10"/>
  <c r="AO111" i="10" s="1"/>
  <c r="AP108" i="10" s="1"/>
  <c r="Y125" i="10"/>
  <c r="AH122" i="10"/>
  <c r="AI122" i="10" s="1"/>
  <c r="X125" i="10"/>
  <c r="X126" i="10"/>
  <c r="V124" i="11"/>
  <c r="X124" i="11" s="1"/>
  <c r="AH120" i="10"/>
  <c r="AI120" i="10" s="1"/>
  <c r="AL120" i="10" s="1"/>
  <c r="AM139" i="12"/>
  <c r="AO139" i="12" s="1"/>
  <c r="AH142" i="12"/>
  <c r="AI142" i="12" s="1"/>
  <c r="AL142" i="12" s="1"/>
  <c r="AH145" i="12"/>
  <c r="AI145" i="12" s="1"/>
  <c r="AM136" i="12"/>
  <c r="AO136" i="12" s="1"/>
  <c r="AP133" i="12" s="1"/>
  <c r="L16" i="9" s="1"/>
  <c r="M16" i="9" s="1"/>
  <c r="AM144" i="12"/>
  <c r="AO144" i="12" s="1"/>
  <c r="AL140" i="12"/>
  <c r="AJ140" i="12"/>
  <c r="AK140" i="12"/>
  <c r="AB146" i="12"/>
  <c r="AE146" i="12" s="1"/>
  <c r="Y146" i="12"/>
  <c r="Z146" i="12" s="1"/>
  <c r="AC146" i="12" s="1"/>
  <c r="AF146" i="12" s="1"/>
  <c r="AL147" i="12"/>
  <c r="AJ147" i="12"/>
  <c r="AK147" i="12"/>
  <c r="AL141" i="12"/>
  <c r="AJ141" i="12"/>
  <c r="AK141" i="12"/>
  <c r="AH116" i="11"/>
  <c r="AI116" i="11" s="1"/>
  <c r="AL116" i="11" s="1"/>
  <c r="AM111" i="11"/>
  <c r="AO111" i="11" s="1"/>
  <c r="AH115" i="11"/>
  <c r="AI115" i="11" s="1"/>
  <c r="AH120" i="11"/>
  <c r="AI120" i="11" s="1"/>
  <c r="AL120" i="11" s="1"/>
  <c r="U125" i="11"/>
  <c r="AJ110" i="11"/>
  <c r="AL110" i="11"/>
  <c r="AK110" i="11"/>
  <c r="Y112" i="11"/>
  <c r="Z112" i="11" s="1"/>
  <c r="AC112" i="11" s="1"/>
  <c r="AF112" i="11" s="1"/>
  <c r="AB112" i="11"/>
  <c r="AE112" i="11" s="1"/>
  <c r="Y117" i="11"/>
  <c r="Z117" i="11" s="1"/>
  <c r="AC117" i="11" s="1"/>
  <c r="AF117" i="11" s="1"/>
  <c r="AB117" i="11"/>
  <c r="AE117" i="11" s="1"/>
  <c r="X121" i="11"/>
  <c r="W121" i="11"/>
  <c r="AJ114" i="11"/>
  <c r="AL114" i="11"/>
  <c r="AK114" i="11"/>
  <c r="O128" i="11"/>
  <c r="AJ116" i="11"/>
  <c r="P127" i="11"/>
  <c r="Q127" i="11" s="1"/>
  <c r="X123" i="11"/>
  <c r="W123" i="11"/>
  <c r="Q126" i="11"/>
  <c r="R126" i="11" s="1"/>
  <c r="S126" i="11" s="1"/>
  <c r="T126" i="11" s="1"/>
  <c r="AH119" i="11"/>
  <c r="AI119" i="11" s="1"/>
  <c r="K130" i="11"/>
  <c r="L129" i="11"/>
  <c r="M129" i="11" s="1"/>
  <c r="N129" i="11" s="1"/>
  <c r="W122" i="11"/>
  <c r="X122" i="11"/>
  <c r="AH119" i="10"/>
  <c r="AI119" i="10" s="1"/>
  <c r="AK119" i="10" s="1"/>
  <c r="AH198" i="2"/>
  <c r="AI198" i="2" s="1"/>
  <c r="X71" i="2"/>
  <c r="AJ36" i="2"/>
  <c r="AM36" i="2" s="1"/>
  <c r="AO36" i="2" s="1"/>
  <c r="AL36" i="2"/>
  <c r="AK36" i="2"/>
  <c r="Y42" i="2"/>
  <c r="Z42" i="2" s="1"/>
  <c r="AC42" i="2" s="1"/>
  <c r="AF42" i="2" s="1"/>
  <c r="AB42" i="2"/>
  <c r="AE42" i="2" s="1"/>
  <c r="W95" i="2"/>
  <c r="X95" i="2"/>
  <c r="AH88" i="2"/>
  <c r="AI88" i="2" s="1"/>
  <c r="AH107" i="2"/>
  <c r="AI107" i="2" s="1"/>
  <c r="Y94" i="2"/>
  <c r="Z94" i="2" s="1"/>
  <c r="AC94" i="2" s="1"/>
  <c r="AF94" i="2" s="1"/>
  <c r="AB94" i="2"/>
  <c r="AE94" i="2" s="1"/>
  <c r="X72" i="2"/>
  <c r="W72" i="2"/>
  <c r="AJ69" i="2"/>
  <c r="AL69" i="2"/>
  <c r="AK69" i="2"/>
  <c r="AJ90" i="2"/>
  <c r="AL90" i="2"/>
  <c r="AK90" i="2"/>
  <c r="U96" i="2"/>
  <c r="V96" i="2" s="1"/>
  <c r="X96" i="2" s="1"/>
  <c r="AJ70" i="2"/>
  <c r="AL70" i="2"/>
  <c r="AK70" i="2"/>
  <c r="W47" i="2"/>
  <c r="X47" i="2"/>
  <c r="Y46" i="2"/>
  <c r="Z46" i="2" s="1"/>
  <c r="AC46" i="2" s="1"/>
  <c r="AF46" i="2" s="1"/>
  <c r="AB46" i="2"/>
  <c r="AE46" i="2" s="1"/>
  <c r="AH66" i="2"/>
  <c r="AI66" i="2" s="1"/>
  <c r="AJ89" i="2"/>
  <c r="AL89" i="2"/>
  <c r="AK89" i="2"/>
  <c r="AJ41" i="2"/>
  <c r="AL41" i="2"/>
  <c r="AK41" i="2"/>
  <c r="AJ84" i="2"/>
  <c r="AL84" i="2"/>
  <c r="AK84" i="2"/>
  <c r="AL65" i="2"/>
  <c r="AJ65" i="2"/>
  <c r="AK65" i="2"/>
  <c r="AB123" i="10"/>
  <c r="AE123" i="10" s="1"/>
  <c r="Y123" i="10"/>
  <c r="Z123" i="10" s="1"/>
  <c r="AC123" i="10" s="1"/>
  <c r="AF123" i="10" s="1"/>
  <c r="X124" i="10"/>
  <c r="W124" i="10"/>
  <c r="AL115" i="10"/>
  <c r="AJ115" i="10"/>
  <c r="AK115" i="10"/>
  <c r="AM113" i="10"/>
  <c r="AO113" i="10" s="1"/>
  <c r="O128" i="10"/>
  <c r="AM114" i="10"/>
  <c r="AO114" i="10" s="1"/>
  <c r="AA124" i="10"/>
  <c r="AD124" i="10" s="1"/>
  <c r="AG124" i="10" s="1"/>
  <c r="X121" i="10"/>
  <c r="W121" i="10"/>
  <c r="K130" i="10"/>
  <c r="L129" i="10"/>
  <c r="M129" i="10" s="1"/>
  <c r="N129" i="10" s="1"/>
  <c r="AM106" i="2"/>
  <c r="AM33" i="2"/>
  <c r="AO33" i="2" s="1"/>
  <c r="AM192" i="2"/>
  <c r="AO192" i="2" s="1"/>
  <c r="AM83" i="2"/>
  <c r="AM39" i="2"/>
  <c r="AO39" i="2" s="1"/>
  <c r="AN199" i="2"/>
  <c r="AO199" i="2" s="1"/>
  <c r="AN189" i="2"/>
  <c r="AO189" i="2" s="1"/>
  <c r="AN179" i="2"/>
  <c r="AO179" i="2" s="1"/>
  <c r="AN194" i="2"/>
  <c r="AO194" i="2" s="1"/>
  <c r="AN184" i="2"/>
  <c r="AO184" i="2" s="1"/>
  <c r="AM196" i="2"/>
  <c r="AO196" i="2" s="1"/>
  <c r="AM35" i="2"/>
  <c r="AO35" i="2" s="1"/>
  <c r="AM38" i="2"/>
  <c r="AO38" i="2" s="1"/>
  <c r="I117" i="2"/>
  <c r="J117" i="2" s="1"/>
  <c r="N117" i="2" s="1"/>
  <c r="AK117" i="2" s="1"/>
  <c r="J116" i="2"/>
  <c r="N116" i="2" s="1"/>
  <c r="AK116" i="2" s="1"/>
  <c r="I121" i="2"/>
  <c r="J120" i="2"/>
  <c r="P110" i="2"/>
  <c r="Q110" i="2"/>
  <c r="K104" i="2"/>
  <c r="L103" i="2"/>
  <c r="M103" i="2" s="1"/>
  <c r="N103" i="2" s="1"/>
  <c r="O111" i="2"/>
  <c r="U111" i="2" s="1"/>
  <c r="O112" i="2"/>
  <c r="U112" i="2" s="1"/>
  <c r="AJ120" i="10" l="1"/>
  <c r="AM84" i="2"/>
  <c r="AJ120" i="11"/>
  <c r="AM116" i="10"/>
  <c r="AO116" i="10" s="1"/>
  <c r="AK120" i="11"/>
  <c r="AK116" i="11"/>
  <c r="W124" i="11"/>
  <c r="Y124" i="11" s="1"/>
  <c r="Z124" i="11" s="1"/>
  <c r="AC124" i="11" s="1"/>
  <c r="AF124" i="11" s="1"/>
  <c r="Z126" i="10"/>
  <c r="AC126" i="10" s="1"/>
  <c r="AF126" i="10" s="1"/>
  <c r="AH126" i="10" s="1"/>
  <c r="AI126" i="10" s="1"/>
  <c r="AJ126" i="10" s="1"/>
  <c r="AB71" i="2"/>
  <c r="AE71" i="2" s="1"/>
  <c r="Y71" i="2"/>
  <c r="Z71" i="2" s="1"/>
  <c r="AC71" i="2" s="1"/>
  <c r="AF71" i="2" s="1"/>
  <c r="AH71" i="2" s="1"/>
  <c r="AI71" i="2" s="1"/>
  <c r="AN145" i="10"/>
  <c r="AN135" i="10"/>
  <c r="AN130" i="10"/>
  <c r="V127" i="10"/>
  <c r="X127" i="10" s="1"/>
  <c r="AK142" i="12"/>
  <c r="AK122" i="10"/>
  <c r="AL122" i="10"/>
  <c r="AJ122" i="10"/>
  <c r="AN140" i="10"/>
  <c r="AK120" i="10"/>
  <c r="AM120" i="10" s="1"/>
  <c r="AO120" i="10" s="1"/>
  <c r="Z125" i="10"/>
  <c r="AC125" i="10" s="1"/>
  <c r="AF125" i="10" s="1"/>
  <c r="AH125" i="10" s="1"/>
  <c r="AI125" i="10" s="1"/>
  <c r="AN125" i="10"/>
  <c r="AJ142" i="12"/>
  <c r="AH146" i="12"/>
  <c r="AI146" i="12" s="1"/>
  <c r="AL145" i="12"/>
  <c r="AJ145" i="12"/>
  <c r="AK145" i="12"/>
  <c r="AM147" i="12"/>
  <c r="AO147" i="12" s="1"/>
  <c r="AM141" i="12"/>
  <c r="AO141" i="12" s="1"/>
  <c r="AM140" i="12"/>
  <c r="AO140" i="12" s="1"/>
  <c r="AB124" i="11"/>
  <c r="AE124" i="11" s="1"/>
  <c r="AM120" i="11"/>
  <c r="AO120" i="11" s="1"/>
  <c r="AM110" i="11"/>
  <c r="AO110" i="11" s="1"/>
  <c r="AL115" i="11"/>
  <c r="AK115" i="11"/>
  <c r="AJ115" i="11"/>
  <c r="U126" i="11"/>
  <c r="AA126" i="11" s="1"/>
  <c r="AD126" i="11" s="1"/>
  <c r="AG126" i="11" s="1"/>
  <c r="AJ119" i="11"/>
  <c r="AL119" i="11"/>
  <c r="AK119" i="11"/>
  <c r="AB122" i="11"/>
  <c r="AE122" i="11" s="1"/>
  <c r="Y122" i="11"/>
  <c r="Z122" i="11" s="1"/>
  <c r="AC122" i="11" s="1"/>
  <c r="AF122" i="11" s="1"/>
  <c r="R127" i="11"/>
  <c r="S127" i="11" s="1"/>
  <c r="T127" i="11" s="1"/>
  <c r="AM116" i="11"/>
  <c r="AO116" i="11" s="1"/>
  <c r="AM114" i="11"/>
  <c r="AO114" i="11" s="1"/>
  <c r="AH117" i="11"/>
  <c r="AI117" i="11" s="1"/>
  <c r="O129" i="11"/>
  <c r="L130" i="11"/>
  <c r="M130" i="11" s="1"/>
  <c r="N130" i="11" s="1"/>
  <c r="K131" i="11"/>
  <c r="Y123" i="11"/>
  <c r="Z123" i="11" s="1"/>
  <c r="AC123" i="11" s="1"/>
  <c r="AF123" i="11" s="1"/>
  <c r="AB123" i="11"/>
  <c r="AE123" i="11" s="1"/>
  <c r="P128" i="11"/>
  <c r="Q128" i="11" s="1"/>
  <c r="AB121" i="11"/>
  <c r="AE121" i="11" s="1"/>
  <c r="Y121" i="11"/>
  <c r="Z121" i="11" s="1"/>
  <c r="AC121" i="11" s="1"/>
  <c r="AF121" i="11" s="1"/>
  <c r="AH112" i="11"/>
  <c r="AI112" i="11" s="1"/>
  <c r="V125" i="11"/>
  <c r="AA125" i="11"/>
  <c r="AD125" i="11" s="1"/>
  <c r="AG125" i="11" s="1"/>
  <c r="AL119" i="10"/>
  <c r="AJ119" i="10"/>
  <c r="AH123" i="10"/>
  <c r="AI123" i="10" s="1"/>
  <c r="AK123" i="10" s="1"/>
  <c r="AH46" i="2"/>
  <c r="AI46" i="2" s="1"/>
  <c r="AA96" i="2"/>
  <c r="AD96" i="2" s="1"/>
  <c r="AG96" i="2" s="1"/>
  <c r="W96" i="2"/>
  <c r="AB72" i="2"/>
  <c r="AE72" i="2" s="1"/>
  <c r="Y72" i="2"/>
  <c r="Z72" i="2" s="1"/>
  <c r="AC72" i="2" s="1"/>
  <c r="AF72" i="2" s="1"/>
  <c r="AJ107" i="2"/>
  <c r="AL107" i="2"/>
  <c r="AH42" i="2"/>
  <c r="AI42" i="2" s="1"/>
  <c r="AL88" i="2"/>
  <c r="AJ88" i="2"/>
  <c r="AK88" i="2"/>
  <c r="AH94" i="2"/>
  <c r="AI94" i="2" s="1"/>
  <c r="AJ198" i="2"/>
  <c r="AL198" i="2"/>
  <c r="AK198" i="2"/>
  <c r="AJ66" i="2"/>
  <c r="AM66" i="2" s="1"/>
  <c r="AL66" i="2"/>
  <c r="AK66" i="2"/>
  <c r="Y47" i="2"/>
  <c r="Z47" i="2" s="1"/>
  <c r="AC47" i="2" s="1"/>
  <c r="AF47" i="2" s="1"/>
  <c r="AB47" i="2"/>
  <c r="AE47" i="2" s="1"/>
  <c r="Y95" i="2"/>
  <c r="Z95" i="2" s="1"/>
  <c r="AC95" i="2" s="1"/>
  <c r="AF95" i="2" s="1"/>
  <c r="AB95" i="2"/>
  <c r="AE95" i="2" s="1"/>
  <c r="P128" i="10"/>
  <c r="Y124" i="10"/>
  <c r="Z124" i="10" s="1"/>
  <c r="AC124" i="10" s="1"/>
  <c r="AF124" i="10" s="1"/>
  <c r="AB124" i="10"/>
  <c r="AE124" i="10" s="1"/>
  <c r="O129" i="10"/>
  <c r="L130" i="10"/>
  <c r="M130" i="10" s="1"/>
  <c r="N130" i="10" s="1"/>
  <c r="K131" i="10"/>
  <c r="AB121" i="10"/>
  <c r="AE121" i="10" s="1"/>
  <c r="Y121" i="10"/>
  <c r="Z121" i="10" s="1"/>
  <c r="AC121" i="10" s="1"/>
  <c r="AF121" i="10" s="1"/>
  <c r="AM115" i="10"/>
  <c r="AO115" i="10" s="1"/>
  <c r="AM107" i="2"/>
  <c r="AM44" i="2"/>
  <c r="AO44" i="2" s="1"/>
  <c r="AM197" i="2"/>
  <c r="AO197" i="2" s="1"/>
  <c r="AM174" i="2"/>
  <c r="AO174" i="2" s="1"/>
  <c r="AM90" i="2"/>
  <c r="AM173" i="2"/>
  <c r="AO173" i="2" s="1"/>
  <c r="AP33" i="2"/>
  <c r="AN70" i="2" s="1"/>
  <c r="AM63" i="2"/>
  <c r="AO63" i="2" s="1"/>
  <c r="AM68" i="2"/>
  <c r="AO68" i="2" s="1"/>
  <c r="AM193" i="2"/>
  <c r="AO193" i="2" s="1"/>
  <c r="AM64" i="2"/>
  <c r="AO64" i="2" s="1"/>
  <c r="S110" i="2"/>
  <c r="T110" i="2" s="1"/>
  <c r="O116" i="2"/>
  <c r="U116" i="2" s="1"/>
  <c r="K105" i="2"/>
  <c r="L104" i="2"/>
  <c r="M104" i="2" s="1"/>
  <c r="O117" i="2"/>
  <c r="U117" i="2" s="1"/>
  <c r="O103" i="2"/>
  <c r="P112" i="2"/>
  <c r="Q112" i="2"/>
  <c r="P111" i="2"/>
  <c r="Q111" i="2"/>
  <c r="R110" i="2"/>
  <c r="I122" i="2"/>
  <c r="J122" i="2" s="1"/>
  <c r="N122" i="2" s="1"/>
  <c r="AK122" i="2" s="1"/>
  <c r="J121" i="2"/>
  <c r="AK126" i="10" l="1"/>
  <c r="AM126" i="10" s="1"/>
  <c r="AH95" i="2"/>
  <c r="AI95" i="2" s="1"/>
  <c r="AL126" i="10"/>
  <c r="AM119" i="10"/>
  <c r="AO119" i="10" s="1"/>
  <c r="AM142" i="12"/>
  <c r="AO142" i="12" s="1"/>
  <c r="AL71" i="2"/>
  <c r="AJ71" i="2"/>
  <c r="AK71" i="2"/>
  <c r="AH72" i="2"/>
  <c r="AI72" i="2" s="1"/>
  <c r="AL72" i="2" s="1"/>
  <c r="AM88" i="2"/>
  <c r="W127" i="10"/>
  <c r="AM122" i="10"/>
  <c r="AO122" i="10" s="1"/>
  <c r="AJ125" i="10"/>
  <c r="AL125" i="10"/>
  <c r="AK125" i="10"/>
  <c r="V126" i="11"/>
  <c r="X126" i="11" s="1"/>
  <c r="AP138" i="12"/>
  <c r="AM145" i="12"/>
  <c r="AO145" i="12" s="1"/>
  <c r="AL146" i="12"/>
  <c r="AJ146" i="12"/>
  <c r="AK146" i="12"/>
  <c r="AH124" i="11"/>
  <c r="AI124" i="11" s="1"/>
  <c r="AL124" i="11" s="1"/>
  <c r="AH123" i="11"/>
  <c r="AI123" i="11" s="1"/>
  <c r="AK123" i="11" s="1"/>
  <c r="AH121" i="11"/>
  <c r="AI121" i="11" s="1"/>
  <c r="AJ121" i="11" s="1"/>
  <c r="AM115" i="11"/>
  <c r="AO115" i="11" s="1"/>
  <c r="U127" i="11"/>
  <c r="V127" i="11" s="1"/>
  <c r="AL112" i="11"/>
  <c r="AJ112" i="11"/>
  <c r="AK112" i="11"/>
  <c r="O130" i="11"/>
  <c r="AH122" i="11"/>
  <c r="AI122" i="11" s="1"/>
  <c r="AM119" i="11"/>
  <c r="AO119" i="11" s="1"/>
  <c r="L131" i="11"/>
  <c r="M131" i="11" s="1"/>
  <c r="N131" i="11" s="1"/>
  <c r="K132" i="11"/>
  <c r="AK121" i="11"/>
  <c r="X125" i="11"/>
  <c r="W125" i="11"/>
  <c r="R128" i="11"/>
  <c r="S128" i="11" s="1"/>
  <c r="T128" i="11" s="1"/>
  <c r="P129" i="11"/>
  <c r="AL117" i="11"/>
  <c r="AJ117" i="11"/>
  <c r="AK117" i="11"/>
  <c r="AL123" i="10"/>
  <c r="AJ123" i="10"/>
  <c r="AJ95" i="2"/>
  <c r="AL95" i="2"/>
  <c r="AK95" i="2"/>
  <c r="AB96" i="2"/>
  <c r="AE96" i="2" s="1"/>
  <c r="Y96" i="2"/>
  <c r="Z96" i="2" s="1"/>
  <c r="AC96" i="2" s="1"/>
  <c r="AF96" i="2" s="1"/>
  <c r="AB110" i="2"/>
  <c r="AE110" i="2" s="1"/>
  <c r="AC110" i="2"/>
  <c r="AF110" i="2" s="1"/>
  <c r="Y110" i="2"/>
  <c r="AD110" i="2"/>
  <c r="AG110" i="2" s="1"/>
  <c r="W110" i="2"/>
  <c r="V110" i="2"/>
  <c r="Z110" i="2"/>
  <c r="AA110" i="2"/>
  <c r="X110" i="2"/>
  <c r="AH47" i="2"/>
  <c r="AI47" i="2" s="1"/>
  <c r="AL94" i="2"/>
  <c r="AJ94" i="2"/>
  <c r="AK94" i="2"/>
  <c r="AJ42" i="2"/>
  <c r="AL42" i="2"/>
  <c r="AK42" i="2"/>
  <c r="AJ46" i="2"/>
  <c r="AL46" i="2"/>
  <c r="AK46" i="2"/>
  <c r="AH124" i="10"/>
  <c r="AI124" i="10" s="1"/>
  <c r="AL124" i="10" s="1"/>
  <c r="AP113" i="10"/>
  <c r="O130" i="10"/>
  <c r="AH121" i="10"/>
  <c r="AI121" i="10" s="1"/>
  <c r="P129" i="10"/>
  <c r="Q129" i="10" s="1"/>
  <c r="Q128" i="10"/>
  <c r="R128" i="10" s="1"/>
  <c r="S128" i="10" s="1"/>
  <c r="T128" i="10" s="1"/>
  <c r="L131" i="10"/>
  <c r="M131" i="10" s="1"/>
  <c r="N131" i="10" s="1"/>
  <c r="O131" i="10" s="1"/>
  <c r="P131" i="10" s="1"/>
  <c r="K132" i="10"/>
  <c r="AN55" i="2"/>
  <c r="AO55" i="2" s="1"/>
  <c r="AM69" i="2"/>
  <c r="AO69" i="2" s="1"/>
  <c r="AN65" i="2"/>
  <c r="AN60" i="2"/>
  <c r="AO60" i="2" s="1"/>
  <c r="AN50" i="2"/>
  <c r="AO50" i="2" s="1"/>
  <c r="AM41" i="2"/>
  <c r="AO41" i="2" s="1"/>
  <c r="AM65" i="2"/>
  <c r="AM198" i="2"/>
  <c r="AO198" i="2" s="1"/>
  <c r="AM45" i="2"/>
  <c r="AO45" i="2" s="1"/>
  <c r="AM46" i="2"/>
  <c r="AO46" i="2" s="1"/>
  <c r="AM70" i="2"/>
  <c r="AO70" i="2" s="1"/>
  <c r="AM89" i="2"/>
  <c r="S112" i="2"/>
  <c r="T112" i="2" s="1"/>
  <c r="AM42" i="2"/>
  <c r="S111" i="2"/>
  <c r="T111" i="2" s="1"/>
  <c r="R112" i="2"/>
  <c r="O122" i="2"/>
  <c r="U122" i="2" s="1"/>
  <c r="R111" i="2"/>
  <c r="K106" i="2"/>
  <c r="L105" i="2"/>
  <c r="M105" i="2" s="1"/>
  <c r="P103" i="2"/>
  <c r="P117" i="2"/>
  <c r="Q117" i="2"/>
  <c r="P116" i="2"/>
  <c r="Q116" i="2"/>
  <c r="AH96" i="2" l="1"/>
  <c r="AI96" i="2" s="1"/>
  <c r="AK72" i="2"/>
  <c r="AJ72" i="2"/>
  <c r="AM72" i="2" s="1"/>
  <c r="AH110" i="2"/>
  <c r="AI110" i="2" s="1"/>
  <c r="Y127" i="10"/>
  <c r="Z127" i="10" s="1"/>
  <c r="AC127" i="10" s="1"/>
  <c r="AF127" i="10" s="1"/>
  <c r="AB127" i="10"/>
  <c r="AE127" i="10" s="1"/>
  <c r="AM125" i="10"/>
  <c r="AO125" i="10" s="1"/>
  <c r="Q131" i="10"/>
  <c r="R131" i="10" s="1"/>
  <c r="S131" i="10" s="1"/>
  <c r="T131" i="10" s="1"/>
  <c r="W126" i="11"/>
  <c r="AB126" i="11" s="1"/>
  <c r="AE126" i="11" s="1"/>
  <c r="AM123" i="10"/>
  <c r="AO123" i="10" s="1"/>
  <c r="AL123" i="11"/>
  <c r="AM112" i="11"/>
  <c r="AO112" i="11" s="1"/>
  <c r="AP108" i="11" s="1"/>
  <c r="AN145" i="11" s="1"/>
  <c r="AM146" i="12"/>
  <c r="AO146" i="12" s="1"/>
  <c r="AL121" i="11"/>
  <c r="AM121" i="11" s="1"/>
  <c r="AO121" i="11" s="1"/>
  <c r="AM117" i="11"/>
  <c r="AO117" i="11" s="1"/>
  <c r="AP113" i="11" s="1"/>
  <c r="AN146" i="11" s="1"/>
  <c r="AK124" i="11"/>
  <c r="AJ124" i="11"/>
  <c r="AJ123" i="11"/>
  <c r="AA127" i="11"/>
  <c r="AD127" i="11" s="1"/>
  <c r="AG127" i="11" s="1"/>
  <c r="W127" i="11"/>
  <c r="X127" i="11"/>
  <c r="U128" i="11"/>
  <c r="V128" i="11" s="1"/>
  <c r="P130" i="11"/>
  <c r="Q130" i="11" s="1"/>
  <c r="Q129" i="11"/>
  <c r="R129" i="11" s="1"/>
  <c r="S129" i="11" s="1"/>
  <c r="T129" i="11" s="1"/>
  <c r="AB125" i="11"/>
  <c r="AE125" i="11" s="1"/>
  <c r="Y125" i="11"/>
  <c r="Z125" i="11" s="1"/>
  <c r="AC125" i="11" s="1"/>
  <c r="AF125" i="11" s="1"/>
  <c r="AJ122" i="11"/>
  <c r="AL122" i="11"/>
  <c r="AK122" i="11"/>
  <c r="Y126" i="11"/>
  <c r="Z126" i="11" s="1"/>
  <c r="AC126" i="11" s="1"/>
  <c r="AF126" i="11" s="1"/>
  <c r="K133" i="11"/>
  <c r="L132" i="11"/>
  <c r="M132" i="11" s="1"/>
  <c r="N132" i="11" s="1"/>
  <c r="O131" i="11"/>
  <c r="AK124" i="10"/>
  <c r="AJ47" i="2"/>
  <c r="AL47" i="2"/>
  <c r="AK47" i="2"/>
  <c r="AB112" i="2"/>
  <c r="AE112" i="2" s="1"/>
  <c r="Z112" i="2"/>
  <c r="AD112" i="2"/>
  <c r="AG112" i="2" s="1"/>
  <c r="Y112" i="2"/>
  <c r="AC112" i="2"/>
  <c r="AF112" i="2" s="1"/>
  <c r="W112" i="2"/>
  <c r="AA112" i="2"/>
  <c r="V112" i="2"/>
  <c r="X112" i="2"/>
  <c r="AB111" i="2"/>
  <c r="AE111" i="2" s="1"/>
  <c r="X111" i="2"/>
  <c r="Z111" i="2"/>
  <c r="AA111" i="2"/>
  <c r="V111" i="2"/>
  <c r="W111" i="2"/>
  <c r="AC111" i="2"/>
  <c r="AF111" i="2" s="1"/>
  <c r="AD111" i="2"/>
  <c r="AG111" i="2" s="1"/>
  <c r="Y111" i="2"/>
  <c r="AL110" i="2"/>
  <c r="AJ110" i="2"/>
  <c r="AL96" i="2"/>
  <c r="AJ96" i="2"/>
  <c r="AK96" i="2"/>
  <c r="AJ124" i="10"/>
  <c r="U128" i="10"/>
  <c r="P130" i="10"/>
  <c r="Q130" i="10" s="1"/>
  <c r="AL121" i="10"/>
  <c r="AJ121" i="10"/>
  <c r="AK121" i="10"/>
  <c r="K133" i="10"/>
  <c r="L132" i="10"/>
  <c r="M132" i="10" s="1"/>
  <c r="N132" i="10" s="1"/>
  <c r="R129" i="10"/>
  <c r="S129" i="10" s="1"/>
  <c r="T129" i="10" s="1"/>
  <c r="AN146" i="10"/>
  <c r="AN141" i="10"/>
  <c r="AN136" i="10"/>
  <c r="AN131" i="10"/>
  <c r="AN126" i="10"/>
  <c r="AO126" i="10" s="1"/>
  <c r="AO65" i="2"/>
  <c r="AM175" i="2"/>
  <c r="AO175" i="2" s="1"/>
  <c r="AP171" i="2" s="1"/>
  <c r="AN195" i="2" s="1"/>
  <c r="AO195" i="2" s="1"/>
  <c r="AP191" i="2" s="1"/>
  <c r="AM71" i="2"/>
  <c r="AO42" i="2"/>
  <c r="AP38" i="2" s="1"/>
  <c r="AN51" i="2" s="1"/>
  <c r="AO51" i="2" s="1"/>
  <c r="S116" i="2"/>
  <c r="T116" i="2" s="1"/>
  <c r="S117" i="2"/>
  <c r="T117" i="2" s="1"/>
  <c r="Q103" i="2"/>
  <c r="R103" i="2" s="1"/>
  <c r="R116" i="2"/>
  <c r="K107" i="2"/>
  <c r="L106" i="2"/>
  <c r="M106" i="2" s="1"/>
  <c r="P122" i="2"/>
  <c r="Q122" i="2"/>
  <c r="R117" i="2"/>
  <c r="AN140" i="11" l="1"/>
  <c r="AM123" i="11"/>
  <c r="AO123" i="11" s="1"/>
  <c r="AN130" i="11"/>
  <c r="AN135" i="11"/>
  <c r="AN125" i="11"/>
  <c r="AH111" i="2"/>
  <c r="AI111" i="2" s="1"/>
  <c r="AH127" i="10"/>
  <c r="AI127" i="10" s="1"/>
  <c r="U131" i="10"/>
  <c r="V131" i="10" s="1"/>
  <c r="O132" i="10"/>
  <c r="P132" i="10" s="1"/>
  <c r="AM124" i="11"/>
  <c r="AO124" i="11" s="1"/>
  <c r="AM124" i="10"/>
  <c r="AO124" i="10" s="1"/>
  <c r="AP143" i="12"/>
  <c r="AO203" i="12"/>
  <c r="AN136" i="11"/>
  <c r="AN141" i="11"/>
  <c r="AN131" i="11"/>
  <c r="AN126" i="11"/>
  <c r="AH125" i="11"/>
  <c r="AI125" i="11" s="1"/>
  <c r="AM122" i="11"/>
  <c r="AO122" i="11" s="1"/>
  <c r="AP118" i="11" s="1"/>
  <c r="AN132" i="11" s="1"/>
  <c r="X128" i="11"/>
  <c r="W128" i="11"/>
  <c r="U129" i="11"/>
  <c r="AH126" i="11"/>
  <c r="AI126" i="11" s="1"/>
  <c r="P131" i="11"/>
  <c r="O132" i="11"/>
  <c r="AA128" i="11"/>
  <c r="AD128" i="11" s="1"/>
  <c r="AG128" i="11" s="1"/>
  <c r="Y127" i="11"/>
  <c r="Z127" i="11" s="1"/>
  <c r="AC127" i="11" s="1"/>
  <c r="AF127" i="11" s="1"/>
  <c r="AB127" i="11"/>
  <c r="AE127" i="11" s="1"/>
  <c r="K138" i="11"/>
  <c r="K134" i="11"/>
  <c r="L133" i="11"/>
  <c r="M133" i="11" s="1"/>
  <c r="N133" i="11" s="1"/>
  <c r="AL125" i="11"/>
  <c r="AJ125" i="11"/>
  <c r="AK125" i="11"/>
  <c r="R130" i="11"/>
  <c r="S130" i="11" s="1"/>
  <c r="T130" i="11" s="1"/>
  <c r="AC117" i="2"/>
  <c r="AF117" i="2" s="1"/>
  <c r="AD117" i="2"/>
  <c r="AG117" i="2" s="1"/>
  <c r="Z117" i="2"/>
  <c r="V117" i="2"/>
  <c r="X117" i="2"/>
  <c r="AA117" i="2"/>
  <c r="Y117" i="2"/>
  <c r="W117" i="2"/>
  <c r="AB117" i="2"/>
  <c r="AE117" i="2" s="1"/>
  <c r="AB116" i="2"/>
  <c r="AE116" i="2" s="1"/>
  <c r="AC116" i="2"/>
  <c r="AF116" i="2" s="1"/>
  <c r="W116" i="2"/>
  <c r="AA116" i="2"/>
  <c r="V116" i="2"/>
  <c r="Z116" i="2"/>
  <c r="AD116" i="2"/>
  <c r="AG116" i="2" s="1"/>
  <c r="Y116" i="2"/>
  <c r="X116" i="2"/>
  <c r="AH112" i="2"/>
  <c r="AI112" i="2" s="1"/>
  <c r="AJ111" i="2"/>
  <c r="AL111" i="2"/>
  <c r="AM121" i="10"/>
  <c r="AO121" i="10" s="1"/>
  <c r="AP118" i="10" s="1"/>
  <c r="R130" i="10"/>
  <c r="S130" i="10" s="1"/>
  <c r="T130" i="10" s="1"/>
  <c r="U129" i="10"/>
  <c r="V129" i="10" s="1"/>
  <c r="K138" i="10"/>
  <c r="K134" i="10"/>
  <c r="L133" i="10"/>
  <c r="M133" i="10" s="1"/>
  <c r="N133" i="10" s="1"/>
  <c r="V128" i="10"/>
  <c r="AA128" i="10"/>
  <c r="AD128" i="10" s="1"/>
  <c r="AG128" i="10" s="1"/>
  <c r="AN180" i="2"/>
  <c r="AO180" i="2" s="1"/>
  <c r="AP176" i="2" s="1"/>
  <c r="AN190" i="2"/>
  <c r="AO190" i="2" s="1"/>
  <c r="AP186" i="2" s="1"/>
  <c r="AN200" i="2"/>
  <c r="AO200" i="2" s="1"/>
  <c r="AP196" i="2" s="1"/>
  <c r="AN185" i="2"/>
  <c r="AO185" i="2" s="1"/>
  <c r="AP181" i="2" s="1"/>
  <c r="AM110" i="2"/>
  <c r="AM94" i="2"/>
  <c r="AM47" i="2"/>
  <c r="AO47" i="2" s="1"/>
  <c r="AP43" i="2" s="1"/>
  <c r="AN72" i="2" s="1"/>
  <c r="AO72" i="2" s="1"/>
  <c r="AM93" i="2"/>
  <c r="AM95" i="2"/>
  <c r="AN61" i="2"/>
  <c r="AO61" i="2" s="1"/>
  <c r="AN56" i="2"/>
  <c r="AO56" i="2" s="1"/>
  <c r="AN66" i="2"/>
  <c r="AO66" i="2" s="1"/>
  <c r="AN71" i="2"/>
  <c r="AO71" i="2" s="1"/>
  <c r="S122" i="2"/>
  <c r="T122" i="2" s="1"/>
  <c r="S103" i="2"/>
  <c r="T103" i="2" s="1"/>
  <c r="K108" i="2"/>
  <c r="L107" i="2"/>
  <c r="M107" i="2" s="1"/>
  <c r="R122" i="2"/>
  <c r="AJ127" i="10" l="1"/>
  <c r="AK127" i="10"/>
  <c r="AL127" i="10"/>
  <c r="AA131" i="10"/>
  <c r="AD131" i="10" s="1"/>
  <c r="AG131" i="10" s="1"/>
  <c r="W131" i="10"/>
  <c r="X131" i="10"/>
  <c r="Q132" i="10"/>
  <c r="R132" i="10" s="1"/>
  <c r="S132" i="10" s="1"/>
  <c r="T132" i="10" s="1"/>
  <c r="AN137" i="11"/>
  <c r="AN142" i="11"/>
  <c r="AN147" i="11"/>
  <c r="AM125" i="11"/>
  <c r="AO125" i="11" s="1"/>
  <c r="AN127" i="11"/>
  <c r="P132" i="11"/>
  <c r="Q132" i="11" s="1"/>
  <c r="AH127" i="11"/>
  <c r="AI127" i="11" s="1"/>
  <c r="AJ126" i="11"/>
  <c r="AL126" i="11"/>
  <c r="AK126" i="11"/>
  <c r="AA129" i="11"/>
  <c r="AD129" i="11" s="1"/>
  <c r="AG129" i="11" s="1"/>
  <c r="O133" i="11"/>
  <c r="AB128" i="11"/>
  <c r="AE128" i="11" s="1"/>
  <c r="Y128" i="11"/>
  <c r="Z128" i="11" s="1"/>
  <c r="AC128" i="11" s="1"/>
  <c r="AF128" i="11" s="1"/>
  <c r="K139" i="11"/>
  <c r="K143" i="11"/>
  <c r="L138" i="11"/>
  <c r="M138" i="11" s="1"/>
  <c r="N138" i="11" s="1"/>
  <c r="U130" i="11"/>
  <c r="V130" i="11" s="1"/>
  <c r="X130" i="11" s="1"/>
  <c r="K135" i="11"/>
  <c r="L134" i="11"/>
  <c r="M134" i="11" s="1"/>
  <c r="N134" i="11" s="1"/>
  <c r="Q131" i="11"/>
  <c r="R131" i="11" s="1"/>
  <c r="S131" i="11" s="1"/>
  <c r="T131" i="11" s="1"/>
  <c r="V129" i="11"/>
  <c r="AA129" i="10"/>
  <c r="AD129" i="10" s="1"/>
  <c r="AG129" i="10" s="1"/>
  <c r="AB122" i="2"/>
  <c r="AE122" i="2" s="1"/>
  <c r="AC122" i="2"/>
  <c r="AF122" i="2" s="1"/>
  <c r="Y122" i="2"/>
  <c r="Z122" i="2"/>
  <c r="W122" i="2"/>
  <c r="X122" i="2"/>
  <c r="AD122" i="2"/>
  <c r="AG122" i="2" s="1"/>
  <c r="AH122" i="2" s="1"/>
  <c r="AI122" i="2" s="1"/>
  <c r="AA122" i="2"/>
  <c r="V122" i="2"/>
  <c r="AL112" i="2"/>
  <c r="AJ112" i="2"/>
  <c r="AH116" i="2"/>
  <c r="AI116" i="2" s="1"/>
  <c r="U103" i="2"/>
  <c r="AH117" i="2"/>
  <c r="AI117" i="2" s="1"/>
  <c r="W129" i="10"/>
  <c r="AB129" i="10" s="1"/>
  <c r="AE129" i="10" s="1"/>
  <c r="X129" i="10"/>
  <c r="U130" i="10"/>
  <c r="AA130" i="10" s="1"/>
  <c r="AD130" i="10" s="1"/>
  <c r="AG130" i="10" s="1"/>
  <c r="K135" i="10"/>
  <c r="L134" i="10"/>
  <c r="M134" i="10" s="1"/>
  <c r="N134" i="10" s="1"/>
  <c r="K143" i="10"/>
  <c r="K139" i="10"/>
  <c r="L138" i="10"/>
  <c r="M138" i="10" s="1"/>
  <c r="N138" i="10" s="1"/>
  <c r="X128" i="10"/>
  <c r="W128" i="10"/>
  <c r="O133" i="10"/>
  <c r="AN147" i="10"/>
  <c r="AN142" i="10"/>
  <c r="AN137" i="10"/>
  <c r="AN132" i="10"/>
  <c r="AN127" i="10"/>
  <c r="AM112" i="2"/>
  <c r="AM111" i="2"/>
  <c r="AN62" i="2"/>
  <c r="AO62" i="2" s="1"/>
  <c r="AP58" i="2" s="1"/>
  <c r="AN57" i="2"/>
  <c r="AO57" i="2" s="1"/>
  <c r="AP53" i="2" s="1"/>
  <c r="AN67" i="2"/>
  <c r="AO67" i="2" s="1"/>
  <c r="AP63" i="2" s="1"/>
  <c r="AN52" i="2"/>
  <c r="AO52" i="2" s="1"/>
  <c r="AP48" i="2" s="1"/>
  <c r="AP68" i="2"/>
  <c r="AM96" i="2"/>
  <c r="L108" i="2"/>
  <c r="M108" i="2" s="1"/>
  <c r="N108" i="2" s="1"/>
  <c r="K113" i="2"/>
  <c r="K109" i="2"/>
  <c r="AM127" i="10" l="1"/>
  <c r="AO127" i="10" s="1"/>
  <c r="AP123" i="10" s="1"/>
  <c r="L12" i="9" s="1"/>
  <c r="M12" i="9" s="1"/>
  <c r="AN80" i="2"/>
  <c r="AN75" i="2"/>
  <c r="AN85" i="2"/>
  <c r="AN95" i="2"/>
  <c r="AO95" i="2" s="1"/>
  <c r="AN90" i="2"/>
  <c r="AN93" i="2"/>
  <c r="AN88" i="2"/>
  <c r="AN78" i="2"/>
  <c r="AO78" i="2" s="1"/>
  <c r="AN83" i="2"/>
  <c r="AN73" i="2"/>
  <c r="AN81" i="2"/>
  <c r="AN96" i="2"/>
  <c r="AN91" i="2"/>
  <c r="AN86" i="2"/>
  <c r="AN76" i="2"/>
  <c r="AN97" i="2"/>
  <c r="AN92" i="2"/>
  <c r="AN77" i="2"/>
  <c r="AN87" i="2"/>
  <c r="AN82" i="2"/>
  <c r="AN84" i="2"/>
  <c r="AN94" i="2"/>
  <c r="AO94" i="2" s="1"/>
  <c r="AN89" i="2"/>
  <c r="AO89" i="2" s="1"/>
  <c r="AN79" i="2"/>
  <c r="AN74" i="2"/>
  <c r="U132" i="10"/>
  <c r="AA132" i="10" s="1"/>
  <c r="AD132" i="10" s="1"/>
  <c r="AG132" i="10" s="1"/>
  <c r="AA130" i="11"/>
  <c r="AD130" i="11" s="1"/>
  <c r="AG130" i="11" s="1"/>
  <c r="Y131" i="10"/>
  <c r="Z131" i="10" s="1"/>
  <c r="AC131" i="10" s="1"/>
  <c r="AF131" i="10" s="1"/>
  <c r="AB131" i="10"/>
  <c r="AE131" i="10" s="1"/>
  <c r="W130" i="11"/>
  <c r="U131" i="11"/>
  <c r="V131" i="11" s="1"/>
  <c r="W131" i="11" s="1"/>
  <c r="O134" i="11"/>
  <c r="O138" i="11"/>
  <c r="AH128" i="11"/>
  <c r="AI128" i="11" s="1"/>
  <c r="P133" i="11"/>
  <c r="AM126" i="11"/>
  <c r="AO126" i="11" s="1"/>
  <c r="R132" i="11"/>
  <c r="S132" i="11" s="1"/>
  <c r="T132" i="11" s="1"/>
  <c r="L135" i="11"/>
  <c r="M135" i="11" s="1"/>
  <c r="N135" i="11" s="1"/>
  <c r="K136" i="11"/>
  <c r="L143" i="11"/>
  <c r="M143" i="11" s="1"/>
  <c r="N143" i="11" s="1"/>
  <c r="K144" i="11"/>
  <c r="AJ127" i="11"/>
  <c r="AL127" i="11"/>
  <c r="AK127" i="11"/>
  <c r="W129" i="11"/>
  <c r="X129" i="11"/>
  <c r="K140" i="11"/>
  <c r="L139" i="11"/>
  <c r="M139" i="11" s="1"/>
  <c r="N139" i="11" s="1"/>
  <c r="AO83" i="2"/>
  <c r="AO77" i="2"/>
  <c r="Y129" i="10"/>
  <c r="Z129" i="10" s="1"/>
  <c r="AC129" i="10" s="1"/>
  <c r="AF129" i="10" s="1"/>
  <c r="AH129" i="10" s="1"/>
  <c r="AI129" i="10" s="1"/>
  <c r="AJ117" i="2"/>
  <c r="AL117" i="2"/>
  <c r="AJ116" i="2"/>
  <c r="AM116" i="2" s="1"/>
  <c r="AL116" i="2"/>
  <c r="AL122" i="2"/>
  <c r="AJ122" i="2"/>
  <c r="V103" i="2"/>
  <c r="AA103" i="2"/>
  <c r="AD103" i="2" s="1"/>
  <c r="AG103" i="2" s="1"/>
  <c r="AB128" i="10"/>
  <c r="AE128" i="10" s="1"/>
  <c r="Y128" i="10"/>
  <c r="Z128" i="10" s="1"/>
  <c r="AC128" i="10" s="1"/>
  <c r="AF128" i="10" s="1"/>
  <c r="K144" i="10"/>
  <c r="L143" i="10"/>
  <c r="M143" i="10" s="1"/>
  <c r="N143" i="10" s="1"/>
  <c r="V130" i="10"/>
  <c r="O134" i="10"/>
  <c r="K140" i="10"/>
  <c r="L139" i="10"/>
  <c r="M139" i="10" s="1"/>
  <c r="N139" i="10" s="1"/>
  <c r="P133" i="10"/>
  <c r="O138" i="10"/>
  <c r="L135" i="10"/>
  <c r="M135" i="10" s="1"/>
  <c r="N135" i="10" s="1"/>
  <c r="K136" i="10"/>
  <c r="AM117" i="2"/>
  <c r="AO93" i="2"/>
  <c r="AO88" i="2"/>
  <c r="AO73" i="2"/>
  <c r="AO97" i="2"/>
  <c r="AO92" i="2"/>
  <c r="AO85" i="2"/>
  <c r="AO84" i="2"/>
  <c r="AO91" i="2"/>
  <c r="AO86" i="2"/>
  <c r="AO96" i="2"/>
  <c r="AO81" i="2"/>
  <c r="AO76" i="2"/>
  <c r="AO87" i="2"/>
  <c r="AO82" i="2"/>
  <c r="AO90" i="2"/>
  <c r="AO75" i="2"/>
  <c r="AO80" i="2"/>
  <c r="AO74" i="2"/>
  <c r="AO79" i="2"/>
  <c r="AO112" i="2"/>
  <c r="L113" i="2"/>
  <c r="M113" i="2" s="1"/>
  <c r="N113" i="2" s="1"/>
  <c r="K114" i="2"/>
  <c r="K118" i="2"/>
  <c r="O108" i="2"/>
  <c r="K110" i="2"/>
  <c r="L109" i="2"/>
  <c r="M109" i="2" s="1"/>
  <c r="N109" i="2" s="1"/>
  <c r="AH131" i="10" l="1"/>
  <c r="AI131" i="10" s="1"/>
  <c r="V132" i="10"/>
  <c r="AM127" i="11"/>
  <c r="AO127" i="11" s="1"/>
  <c r="AP123" i="11" s="1"/>
  <c r="AB130" i="11"/>
  <c r="AE130" i="11" s="1"/>
  <c r="Y130" i="11"/>
  <c r="Z130" i="11" s="1"/>
  <c r="AC130" i="11" s="1"/>
  <c r="AF130" i="11" s="1"/>
  <c r="U132" i="11"/>
  <c r="V132" i="11" s="1"/>
  <c r="Y131" i="11"/>
  <c r="AB131" i="11"/>
  <c r="AE131" i="11" s="1"/>
  <c r="AL128" i="11"/>
  <c r="AJ128" i="11"/>
  <c r="AK128" i="11"/>
  <c r="P134" i="11"/>
  <c r="Q134" i="11" s="1"/>
  <c r="X131" i="11"/>
  <c r="O139" i="11"/>
  <c r="AB129" i="11"/>
  <c r="AE129" i="11" s="1"/>
  <c r="Y129" i="11"/>
  <c r="Z129" i="11" s="1"/>
  <c r="AC129" i="11" s="1"/>
  <c r="AF129" i="11" s="1"/>
  <c r="K145" i="11"/>
  <c r="L144" i="11"/>
  <c r="M144" i="11" s="1"/>
  <c r="N144" i="11" s="1"/>
  <c r="O143" i="11"/>
  <c r="Q133" i="11"/>
  <c r="R133" i="11" s="1"/>
  <c r="S133" i="11" s="1"/>
  <c r="T133" i="11" s="1"/>
  <c r="P138" i="11"/>
  <c r="Q138" i="11" s="1"/>
  <c r="O135" i="11"/>
  <c r="L140" i="11"/>
  <c r="M140" i="11" s="1"/>
  <c r="N140" i="11" s="1"/>
  <c r="K141" i="11"/>
  <c r="L136" i="11"/>
  <c r="M136" i="11" s="1"/>
  <c r="N136" i="11" s="1"/>
  <c r="K137" i="11"/>
  <c r="L137" i="11" s="1"/>
  <c r="M137" i="11" s="1"/>
  <c r="N137" i="11" s="1"/>
  <c r="AA131" i="11"/>
  <c r="AD131" i="11" s="1"/>
  <c r="AG131" i="11" s="1"/>
  <c r="O113" i="2"/>
  <c r="W103" i="2"/>
  <c r="X103" i="2"/>
  <c r="O143" i="10"/>
  <c r="P138" i="10"/>
  <c r="Q138" i="10" s="1"/>
  <c r="O139" i="10"/>
  <c r="P134" i="10"/>
  <c r="Q134" i="10" s="1"/>
  <c r="K145" i="10"/>
  <c r="L144" i="10"/>
  <c r="M144" i="10" s="1"/>
  <c r="N144" i="10" s="1"/>
  <c r="K137" i="10"/>
  <c r="L137" i="10" s="1"/>
  <c r="M137" i="10" s="1"/>
  <c r="N137" i="10" s="1"/>
  <c r="O137" i="10" s="1"/>
  <c r="P137" i="10" s="1"/>
  <c r="L136" i="10"/>
  <c r="M136" i="10" s="1"/>
  <c r="N136" i="10" s="1"/>
  <c r="L140" i="10"/>
  <c r="M140" i="10" s="1"/>
  <c r="N140" i="10" s="1"/>
  <c r="K141" i="10"/>
  <c r="X130" i="10"/>
  <c r="W130" i="10"/>
  <c r="O135" i="10"/>
  <c r="Q133" i="10"/>
  <c r="R133" i="10" s="1"/>
  <c r="S133" i="10" s="1"/>
  <c r="T133" i="10" s="1"/>
  <c r="AL129" i="10"/>
  <c r="AJ129" i="10"/>
  <c r="AK129" i="10"/>
  <c r="AH128" i="10"/>
  <c r="AI128" i="10" s="1"/>
  <c r="AP83" i="2"/>
  <c r="AN105" i="2" s="1"/>
  <c r="AO105" i="2" s="1"/>
  <c r="AP88" i="2"/>
  <c r="AN111" i="2" s="1"/>
  <c r="AO111" i="2" s="1"/>
  <c r="AP93" i="2"/>
  <c r="AN112" i="2" s="1"/>
  <c r="AP78" i="2"/>
  <c r="AN119" i="2" s="1"/>
  <c r="AP73" i="2"/>
  <c r="AM122" i="2"/>
  <c r="AO122" i="2" s="1"/>
  <c r="AO117" i="2"/>
  <c r="P108" i="2"/>
  <c r="K119" i="2"/>
  <c r="L118" i="2"/>
  <c r="M118" i="2" s="1"/>
  <c r="N118" i="2" s="1"/>
  <c r="O109" i="2"/>
  <c r="K115" i="2"/>
  <c r="L114" i="2"/>
  <c r="M114" i="2" s="1"/>
  <c r="N114" i="2" s="1"/>
  <c r="K111" i="2"/>
  <c r="L110" i="2"/>
  <c r="M110" i="2" s="1"/>
  <c r="P113" i="2"/>
  <c r="AH130" i="11" l="1"/>
  <c r="AI130" i="11" s="1"/>
  <c r="AL130" i="11" s="1"/>
  <c r="W132" i="10"/>
  <c r="X132" i="10"/>
  <c r="Q137" i="10"/>
  <c r="R137" i="10" s="1"/>
  <c r="S137" i="10" s="1"/>
  <c r="T137" i="10" s="1"/>
  <c r="AK131" i="10"/>
  <c r="AL131" i="10"/>
  <c r="AJ131" i="10"/>
  <c r="AA132" i="11"/>
  <c r="AD132" i="11" s="1"/>
  <c r="AG132" i="11" s="1"/>
  <c r="U133" i="11"/>
  <c r="X132" i="11"/>
  <c r="W132" i="11"/>
  <c r="O136" i="11"/>
  <c r="P135" i="11"/>
  <c r="L145" i="11"/>
  <c r="M145" i="11" s="1"/>
  <c r="N145" i="11" s="1"/>
  <c r="K146" i="11"/>
  <c r="P139" i="11"/>
  <c r="O137" i="11"/>
  <c r="O144" i="11"/>
  <c r="K142" i="11"/>
  <c r="L142" i="11" s="1"/>
  <c r="M142" i="11" s="1"/>
  <c r="N142" i="11" s="1"/>
  <c r="L141" i="11"/>
  <c r="M141" i="11" s="1"/>
  <c r="N141" i="11" s="1"/>
  <c r="Z131" i="11"/>
  <c r="AC131" i="11" s="1"/>
  <c r="AF131" i="11" s="1"/>
  <c r="AH131" i="11" s="1"/>
  <c r="AI131" i="11" s="1"/>
  <c r="O140" i="11"/>
  <c r="R138" i="11"/>
  <c r="S138" i="11" s="1"/>
  <c r="T138" i="11" s="1"/>
  <c r="P143" i="11"/>
  <c r="Q143" i="11" s="1"/>
  <c r="AH129" i="11"/>
  <c r="AI129" i="11" s="1"/>
  <c r="R134" i="11"/>
  <c r="S134" i="11" s="1"/>
  <c r="T134" i="11" s="1"/>
  <c r="AM128" i="11"/>
  <c r="AO128" i="11" s="1"/>
  <c r="AO98" i="2"/>
  <c r="AN98" i="2"/>
  <c r="AM129" i="10"/>
  <c r="AO129" i="10" s="1"/>
  <c r="AB103" i="2"/>
  <c r="AE103" i="2" s="1"/>
  <c r="Y103" i="2"/>
  <c r="Z103" i="2" s="1"/>
  <c r="AC103" i="2" s="1"/>
  <c r="AF103" i="2" s="1"/>
  <c r="O114" i="2"/>
  <c r="U133" i="10"/>
  <c r="AB130" i="10"/>
  <c r="AE130" i="10" s="1"/>
  <c r="Y130" i="10"/>
  <c r="Z130" i="10" s="1"/>
  <c r="AC130" i="10" s="1"/>
  <c r="AF130" i="10" s="1"/>
  <c r="AL128" i="10"/>
  <c r="AJ128" i="10"/>
  <c r="AK128" i="10"/>
  <c r="L145" i="10"/>
  <c r="M145" i="10" s="1"/>
  <c r="N145" i="10" s="1"/>
  <c r="K146" i="10"/>
  <c r="O144" i="10"/>
  <c r="L141" i="10"/>
  <c r="M141" i="10" s="1"/>
  <c r="N141" i="10" s="1"/>
  <c r="K142" i="10"/>
  <c r="L142" i="10" s="1"/>
  <c r="M142" i="10" s="1"/>
  <c r="N142" i="10" s="1"/>
  <c r="O136" i="10"/>
  <c r="R134" i="10"/>
  <c r="S134" i="10" s="1"/>
  <c r="T134" i="10" s="1"/>
  <c r="P139" i="10"/>
  <c r="Q139" i="10" s="1"/>
  <c r="P135" i="10"/>
  <c r="Q135" i="10" s="1"/>
  <c r="O140" i="10"/>
  <c r="R138" i="10"/>
  <c r="S138" i="10" s="1"/>
  <c r="T138" i="10" s="1"/>
  <c r="P143" i="10"/>
  <c r="AN100" i="2"/>
  <c r="AO100" i="2" s="1"/>
  <c r="AN115" i="2"/>
  <c r="AN120" i="2"/>
  <c r="AN110" i="2"/>
  <c r="AO110" i="2" s="1"/>
  <c r="AN116" i="2"/>
  <c r="AO116" i="2" s="1"/>
  <c r="AN121" i="2"/>
  <c r="AN106" i="2"/>
  <c r="AO106" i="2" s="1"/>
  <c r="AN101" i="2"/>
  <c r="AO101" i="2" s="1"/>
  <c r="AN102" i="2"/>
  <c r="AO102" i="2" s="1"/>
  <c r="AN107" i="2"/>
  <c r="AO107" i="2" s="1"/>
  <c r="AN117" i="2"/>
  <c r="AN122" i="2"/>
  <c r="AN114" i="2"/>
  <c r="AN109" i="2"/>
  <c r="AN99" i="2"/>
  <c r="AO99" i="2" s="1"/>
  <c r="AN104" i="2"/>
  <c r="AO104" i="2" s="1"/>
  <c r="AN113" i="2"/>
  <c r="AN118" i="2"/>
  <c r="AN103" i="2"/>
  <c r="AN108" i="2"/>
  <c r="Q113" i="2"/>
  <c r="R113" i="2" s="1"/>
  <c r="K112" i="2"/>
  <c r="L111" i="2"/>
  <c r="M111" i="2" s="1"/>
  <c r="P109" i="2"/>
  <c r="Q109" i="2" s="1"/>
  <c r="P114" i="2"/>
  <c r="O118" i="2"/>
  <c r="K116" i="2"/>
  <c r="L115" i="2"/>
  <c r="M115" i="2" s="1"/>
  <c r="N115" i="2" s="1"/>
  <c r="K120" i="2"/>
  <c r="L119" i="2"/>
  <c r="M119" i="2" s="1"/>
  <c r="N119" i="2" s="1"/>
  <c r="Q108" i="2"/>
  <c r="AJ130" i="11" l="1"/>
  <c r="AM130" i="11" s="1"/>
  <c r="AO130" i="11" s="1"/>
  <c r="AK130" i="11"/>
  <c r="AM131" i="10"/>
  <c r="AO131" i="10" s="1"/>
  <c r="U137" i="10"/>
  <c r="AA137" i="10" s="1"/>
  <c r="AD137" i="10" s="1"/>
  <c r="AG137" i="10" s="1"/>
  <c r="Y132" i="10"/>
  <c r="Z132" i="10" s="1"/>
  <c r="AC132" i="10" s="1"/>
  <c r="AF132" i="10" s="1"/>
  <c r="AB132" i="10"/>
  <c r="AE132" i="10" s="1"/>
  <c r="U138" i="11"/>
  <c r="U134" i="11"/>
  <c r="AA134" i="11" s="1"/>
  <c r="AD134" i="11" s="1"/>
  <c r="AG134" i="11" s="1"/>
  <c r="AJ131" i="11"/>
  <c r="AL131" i="11"/>
  <c r="AK131" i="11"/>
  <c r="O142" i="11"/>
  <c r="AB132" i="11"/>
  <c r="AE132" i="11" s="1"/>
  <c r="Y132" i="11"/>
  <c r="Z132" i="11" s="1"/>
  <c r="AC132" i="11" s="1"/>
  <c r="AF132" i="11" s="1"/>
  <c r="P140" i="11"/>
  <c r="L146" i="11"/>
  <c r="M146" i="11" s="1"/>
  <c r="N146" i="11" s="1"/>
  <c r="K147" i="11"/>
  <c r="L147" i="11" s="1"/>
  <c r="M147" i="11" s="1"/>
  <c r="N147" i="11" s="1"/>
  <c r="P144" i="11"/>
  <c r="O145" i="11"/>
  <c r="P136" i="11"/>
  <c r="AL129" i="11"/>
  <c r="AJ129" i="11"/>
  <c r="AK129" i="11"/>
  <c r="R143" i="11"/>
  <c r="S143" i="11" s="1"/>
  <c r="T143" i="11" s="1"/>
  <c r="O141" i="11"/>
  <c r="P137" i="11"/>
  <c r="Q139" i="11"/>
  <c r="R139" i="11" s="1"/>
  <c r="S139" i="11" s="1"/>
  <c r="T139" i="11" s="1"/>
  <c r="Q135" i="11"/>
  <c r="R135" i="11" s="1"/>
  <c r="S135" i="11" s="1"/>
  <c r="T135" i="11" s="1"/>
  <c r="V133" i="11"/>
  <c r="AA133" i="11"/>
  <c r="AD133" i="11" s="1"/>
  <c r="AG133" i="11" s="1"/>
  <c r="O119" i="2"/>
  <c r="AH103" i="2"/>
  <c r="AI103" i="2" s="1"/>
  <c r="P140" i="10"/>
  <c r="Q140" i="10" s="1"/>
  <c r="P136" i="10"/>
  <c r="AH130" i="10"/>
  <c r="AI130" i="10" s="1"/>
  <c r="R139" i="10"/>
  <c r="S139" i="10" s="1"/>
  <c r="T139" i="10" s="1"/>
  <c r="O141" i="10"/>
  <c r="U138" i="10"/>
  <c r="AA138" i="10" s="1"/>
  <c r="AD138" i="10" s="1"/>
  <c r="AG138" i="10" s="1"/>
  <c r="P144" i="10"/>
  <c r="AM128" i="10"/>
  <c r="AO128" i="10" s="1"/>
  <c r="U134" i="10"/>
  <c r="O145" i="10"/>
  <c r="Q143" i="10"/>
  <c r="R143" i="10" s="1"/>
  <c r="S143" i="10" s="1"/>
  <c r="T143" i="10" s="1"/>
  <c r="R135" i="10"/>
  <c r="S135" i="10" s="1"/>
  <c r="T135" i="10" s="1"/>
  <c r="O142" i="10"/>
  <c r="L146" i="10"/>
  <c r="M146" i="10" s="1"/>
  <c r="N146" i="10" s="1"/>
  <c r="K147" i="10"/>
  <c r="L147" i="10" s="1"/>
  <c r="M147" i="10" s="1"/>
  <c r="N147" i="10" s="1"/>
  <c r="V133" i="10"/>
  <c r="AA133" i="10"/>
  <c r="AD133" i="10" s="1"/>
  <c r="AG133" i="10" s="1"/>
  <c r="AP98" i="2"/>
  <c r="AN138" i="2" s="1"/>
  <c r="S113" i="2"/>
  <c r="T113" i="2" s="1"/>
  <c r="Q114" i="2"/>
  <c r="R114" i="2" s="1"/>
  <c r="O115" i="2"/>
  <c r="P118" i="2"/>
  <c r="R109" i="2"/>
  <c r="S109" i="2" s="1"/>
  <c r="T109" i="2" s="1"/>
  <c r="K121" i="2"/>
  <c r="L120" i="2"/>
  <c r="M120" i="2" s="1"/>
  <c r="N120" i="2" s="1"/>
  <c r="K117" i="2"/>
  <c r="L117" i="2" s="1"/>
  <c r="M117" i="2" s="1"/>
  <c r="L116" i="2"/>
  <c r="M116" i="2" s="1"/>
  <c r="P119" i="2"/>
  <c r="R108" i="2"/>
  <c r="S108" i="2" s="1"/>
  <c r="T108" i="2" s="1"/>
  <c r="L112" i="2"/>
  <c r="M112" i="2" s="1"/>
  <c r="K123" i="2"/>
  <c r="AH132" i="10" l="1"/>
  <c r="AI132" i="10" s="1"/>
  <c r="AL132" i="10" s="1"/>
  <c r="V137" i="10"/>
  <c r="W137" i="10" s="1"/>
  <c r="Y137" i="10" s="1"/>
  <c r="AH132" i="11"/>
  <c r="AI132" i="11" s="1"/>
  <c r="AL132" i="11" s="1"/>
  <c r="U135" i="11"/>
  <c r="AA135" i="11" s="1"/>
  <c r="AD135" i="11" s="1"/>
  <c r="AG135" i="11" s="1"/>
  <c r="U139" i="11"/>
  <c r="P141" i="11"/>
  <c r="Q141" i="11" s="1"/>
  <c r="X133" i="11"/>
  <c r="W133" i="11"/>
  <c r="Q137" i="11"/>
  <c r="R137" i="11" s="1"/>
  <c r="S137" i="11" s="1"/>
  <c r="T137" i="11" s="1"/>
  <c r="AM129" i="11"/>
  <c r="AO129" i="11" s="1"/>
  <c r="Q136" i="11"/>
  <c r="R136" i="11" s="1"/>
  <c r="S136" i="11" s="1"/>
  <c r="T136" i="11" s="1"/>
  <c r="O146" i="11"/>
  <c r="V134" i="11"/>
  <c r="P145" i="11"/>
  <c r="Q140" i="11"/>
  <c r="R140" i="11" s="1"/>
  <c r="S140" i="11" s="1"/>
  <c r="T140" i="11" s="1"/>
  <c r="O147" i="11"/>
  <c r="U143" i="11"/>
  <c r="Q144" i="11"/>
  <c r="R144" i="11" s="1"/>
  <c r="S144" i="11" s="1"/>
  <c r="T144" i="11" s="1"/>
  <c r="P142" i="11"/>
  <c r="Q142" i="11" s="1"/>
  <c r="AM131" i="11"/>
  <c r="AO131" i="11" s="1"/>
  <c r="V138" i="11"/>
  <c r="AA138" i="11"/>
  <c r="AD138" i="11" s="1"/>
  <c r="AG138" i="11" s="1"/>
  <c r="V138" i="10"/>
  <c r="W138" i="10" s="1"/>
  <c r="AB138" i="10" s="1"/>
  <c r="AE138" i="10" s="1"/>
  <c r="U108" i="2"/>
  <c r="AA108" i="2" s="1"/>
  <c r="AD108" i="2" s="1"/>
  <c r="AG108" i="2" s="1"/>
  <c r="U109" i="2"/>
  <c r="V109" i="2" s="1"/>
  <c r="W109" i="2" s="1"/>
  <c r="U113" i="2"/>
  <c r="AL103" i="2"/>
  <c r="AJ103" i="2"/>
  <c r="AK103" i="2"/>
  <c r="U135" i="10"/>
  <c r="AA135" i="10" s="1"/>
  <c r="AD135" i="10" s="1"/>
  <c r="AG135" i="10" s="1"/>
  <c r="U143" i="10"/>
  <c r="W133" i="10"/>
  <c r="X133" i="10"/>
  <c r="U139" i="10"/>
  <c r="V134" i="10"/>
  <c r="AA134" i="10"/>
  <c r="AD134" i="10" s="1"/>
  <c r="AG134" i="10" s="1"/>
  <c r="Q144" i="10"/>
  <c r="R144" i="10" s="1"/>
  <c r="S144" i="10" s="1"/>
  <c r="T144" i="10" s="1"/>
  <c r="P141" i="10"/>
  <c r="Q141" i="10" s="1"/>
  <c r="AJ130" i="10"/>
  <c r="AL130" i="10"/>
  <c r="AK130" i="10"/>
  <c r="O146" i="10"/>
  <c r="O147" i="10"/>
  <c r="P142" i="10"/>
  <c r="Q142" i="10" s="1"/>
  <c r="P145" i="10"/>
  <c r="Q145" i="10" s="1"/>
  <c r="Q136" i="10"/>
  <c r="R136" i="10" s="1"/>
  <c r="S136" i="10" s="1"/>
  <c r="T136" i="10" s="1"/>
  <c r="R140" i="10"/>
  <c r="S140" i="10" s="1"/>
  <c r="T140" i="10" s="1"/>
  <c r="AN133" i="2"/>
  <c r="AN143" i="2"/>
  <c r="AN123" i="2"/>
  <c r="AN128" i="2"/>
  <c r="S114" i="2"/>
  <c r="T114" i="2" s="1"/>
  <c r="K122" i="2"/>
  <c r="L122" i="2" s="1"/>
  <c r="M122" i="2" s="1"/>
  <c r="L121" i="2"/>
  <c r="M121" i="2" s="1"/>
  <c r="N121" i="2" s="1"/>
  <c r="K124" i="2"/>
  <c r="L123" i="2"/>
  <c r="M123" i="2" s="1"/>
  <c r="N123" i="2" s="1"/>
  <c r="Q119" i="2"/>
  <c r="O120" i="2"/>
  <c r="Q118" i="2"/>
  <c r="R118" i="2" s="1"/>
  <c r="S118" i="2" s="1"/>
  <c r="T118" i="2" s="1"/>
  <c r="P115" i="2"/>
  <c r="Q115" i="2" s="1"/>
  <c r="AK132" i="10" l="1"/>
  <c r="AJ132" i="10"/>
  <c r="AA109" i="2"/>
  <c r="AD109" i="2" s="1"/>
  <c r="AG109" i="2" s="1"/>
  <c r="V108" i="2"/>
  <c r="AB137" i="10"/>
  <c r="AE137" i="10" s="1"/>
  <c r="X137" i="10"/>
  <c r="Z137" i="10" s="1"/>
  <c r="AC137" i="10" s="1"/>
  <c r="AF137" i="10" s="1"/>
  <c r="AK132" i="11"/>
  <c r="X138" i="10"/>
  <c r="AJ132" i="11"/>
  <c r="AM132" i="11" s="1"/>
  <c r="AO132" i="11" s="1"/>
  <c r="AP128" i="11" s="1"/>
  <c r="L14" i="9" s="1"/>
  <c r="M14" i="9" s="1"/>
  <c r="U137" i="11"/>
  <c r="AA137" i="11" s="1"/>
  <c r="AD137" i="11" s="1"/>
  <c r="AG137" i="11" s="1"/>
  <c r="U140" i="11"/>
  <c r="U144" i="11"/>
  <c r="U136" i="11"/>
  <c r="V136" i="11" s="1"/>
  <c r="X134" i="11"/>
  <c r="W134" i="11"/>
  <c r="Y133" i="11"/>
  <c r="Z133" i="11" s="1"/>
  <c r="AC133" i="11" s="1"/>
  <c r="AF133" i="11" s="1"/>
  <c r="AB133" i="11"/>
  <c r="AE133" i="11" s="1"/>
  <c r="V139" i="11"/>
  <c r="AA139" i="11"/>
  <c r="AD139" i="11" s="1"/>
  <c r="AG139" i="11" s="1"/>
  <c r="V135" i="11"/>
  <c r="R142" i="11"/>
  <c r="S142" i="11" s="1"/>
  <c r="T142" i="11" s="1"/>
  <c r="X138" i="11"/>
  <c r="W138" i="11"/>
  <c r="AA143" i="11"/>
  <c r="AD143" i="11" s="1"/>
  <c r="AG143" i="11" s="1"/>
  <c r="P147" i="11"/>
  <c r="Q147" i="11" s="1"/>
  <c r="Q145" i="11"/>
  <c r="R145" i="11" s="1"/>
  <c r="S145" i="11" s="1"/>
  <c r="T145" i="11" s="1"/>
  <c r="P146" i="11"/>
  <c r="Q146" i="11" s="1"/>
  <c r="V143" i="11"/>
  <c r="R141" i="11"/>
  <c r="S141" i="11" s="1"/>
  <c r="T141" i="11" s="1"/>
  <c r="Y138" i="10"/>
  <c r="Y109" i="2"/>
  <c r="AB109" i="2"/>
  <c r="AE109" i="2" s="1"/>
  <c r="V113" i="2"/>
  <c r="U114" i="2"/>
  <c r="V114" i="2" s="1"/>
  <c r="X109" i="2"/>
  <c r="U118" i="2"/>
  <c r="V118" i="2" s="1"/>
  <c r="W118" i="2" s="1"/>
  <c r="Y118" i="2" s="1"/>
  <c r="AA113" i="2"/>
  <c r="AD113" i="2" s="1"/>
  <c r="AG113" i="2" s="1"/>
  <c r="O121" i="2"/>
  <c r="P121" i="2" s="1"/>
  <c r="AM130" i="10"/>
  <c r="AO130" i="10" s="1"/>
  <c r="U144" i="10"/>
  <c r="U140" i="10"/>
  <c r="U136" i="10"/>
  <c r="W134" i="10"/>
  <c r="X134" i="10"/>
  <c r="AB133" i="10"/>
  <c r="AE133" i="10" s="1"/>
  <c r="Y133" i="10"/>
  <c r="Z133" i="10" s="1"/>
  <c r="AC133" i="10" s="1"/>
  <c r="AF133" i="10" s="1"/>
  <c r="V135" i="10"/>
  <c r="R141" i="10"/>
  <c r="S141" i="10" s="1"/>
  <c r="T141" i="10" s="1"/>
  <c r="R142" i="10"/>
  <c r="S142" i="10" s="1"/>
  <c r="T142" i="10" s="1"/>
  <c r="R145" i="10"/>
  <c r="S145" i="10" s="1"/>
  <c r="T145" i="10" s="1"/>
  <c r="P147" i="10"/>
  <c r="Q147" i="10" s="1"/>
  <c r="P146" i="10"/>
  <c r="V139" i="10"/>
  <c r="AA139" i="10"/>
  <c r="AD139" i="10" s="1"/>
  <c r="AG139" i="10" s="1"/>
  <c r="V143" i="10"/>
  <c r="AA143" i="10"/>
  <c r="AD143" i="10" s="1"/>
  <c r="AG143" i="10" s="1"/>
  <c r="AM103" i="2"/>
  <c r="AO103" i="2" s="1"/>
  <c r="AP103" i="2" s="1"/>
  <c r="R119" i="2"/>
  <c r="R115" i="2"/>
  <c r="K125" i="2"/>
  <c r="L124" i="2"/>
  <c r="M124" i="2" s="1"/>
  <c r="N124" i="2" s="1"/>
  <c r="P120" i="2"/>
  <c r="Q120" i="2" s="1"/>
  <c r="R120" i="2" s="1"/>
  <c r="S120" i="2" s="1"/>
  <c r="T120" i="2" s="1"/>
  <c r="U120" i="2" s="1"/>
  <c r="O123" i="2"/>
  <c r="Z138" i="10" l="1"/>
  <c r="AC138" i="10" s="1"/>
  <c r="AF138" i="10" s="1"/>
  <c r="AH138" i="10" s="1"/>
  <c r="AI138" i="10" s="1"/>
  <c r="AH137" i="10"/>
  <c r="AI137" i="10" s="1"/>
  <c r="AK137" i="10" s="1"/>
  <c r="AM132" i="10"/>
  <c r="AO132" i="10" s="1"/>
  <c r="AP128" i="10" s="1"/>
  <c r="AA114" i="2"/>
  <c r="AD114" i="2" s="1"/>
  <c r="AG114" i="2" s="1"/>
  <c r="Z109" i="2"/>
  <c r="AC109" i="2" s="1"/>
  <c r="AF109" i="2" s="1"/>
  <c r="AH109" i="2" s="1"/>
  <c r="AI109" i="2" s="1"/>
  <c r="W108" i="2"/>
  <c r="X108" i="2"/>
  <c r="AH133" i="11"/>
  <c r="AI133" i="11" s="1"/>
  <c r="AL133" i="11" s="1"/>
  <c r="V137" i="11"/>
  <c r="W136" i="11"/>
  <c r="X136" i="11"/>
  <c r="U141" i="11"/>
  <c r="V141" i="11" s="1"/>
  <c r="U142" i="11"/>
  <c r="AA142" i="11" s="1"/>
  <c r="AD142" i="11" s="1"/>
  <c r="AG142" i="11" s="1"/>
  <c r="U145" i="11"/>
  <c r="X135" i="11"/>
  <c r="W135" i="11"/>
  <c r="AA136" i="11"/>
  <c r="AD136" i="11" s="1"/>
  <c r="AG136" i="11" s="1"/>
  <c r="Y134" i="11"/>
  <c r="Z134" i="11" s="1"/>
  <c r="AC134" i="11" s="1"/>
  <c r="AF134" i="11" s="1"/>
  <c r="AB134" i="11"/>
  <c r="AE134" i="11" s="1"/>
  <c r="R146" i="11"/>
  <c r="S146" i="11" s="1"/>
  <c r="T146" i="11" s="1"/>
  <c r="R147" i="11"/>
  <c r="S147" i="11" s="1"/>
  <c r="T147" i="11" s="1"/>
  <c r="AB138" i="11"/>
  <c r="AE138" i="11" s="1"/>
  <c r="Y138" i="11"/>
  <c r="Z138" i="11" s="1"/>
  <c r="AC138" i="11" s="1"/>
  <c r="AF138" i="11" s="1"/>
  <c r="W143" i="11"/>
  <c r="X143" i="11"/>
  <c r="X139" i="11"/>
  <c r="W139" i="11"/>
  <c r="V144" i="11"/>
  <c r="AA144" i="11"/>
  <c r="AD144" i="11" s="1"/>
  <c r="AG144" i="11" s="1"/>
  <c r="V140" i="11"/>
  <c r="AA140" i="11"/>
  <c r="AD140" i="11" s="1"/>
  <c r="AG140" i="11" s="1"/>
  <c r="W114" i="2"/>
  <c r="X114" i="2"/>
  <c r="V120" i="2"/>
  <c r="X120" i="2" s="1"/>
  <c r="AB118" i="2"/>
  <c r="AE118" i="2" s="1"/>
  <c r="X118" i="2"/>
  <c r="Z118" i="2" s="1"/>
  <c r="AC118" i="2" s="1"/>
  <c r="AF118" i="2" s="1"/>
  <c r="X113" i="2"/>
  <c r="W113" i="2"/>
  <c r="AA120" i="2"/>
  <c r="AD120" i="2" s="1"/>
  <c r="AG120" i="2" s="1"/>
  <c r="W120" i="2"/>
  <c r="Y120" i="2" s="1"/>
  <c r="AA118" i="2"/>
  <c r="AD118" i="2" s="1"/>
  <c r="AG118" i="2" s="1"/>
  <c r="U141" i="10"/>
  <c r="AA141" i="10" s="1"/>
  <c r="AD141" i="10" s="1"/>
  <c r="AG141" i="10" s="1"/>
  <c r="U145" i="10"/>
  <c r="X143" i="10"/>
  <c r="W143" i="10"/>
  <c r="Q146" i="10"/>
  <c r="R146" i="10" s="1"/>
  <c r="S146" i="10" s="1"/>
  <c r="T146" i="10" s="1"/>
  <c r="AL138" i="10"/>
  <c r="AJ138" i="10"/>
  <c r="AK138" i="10"/>
  <c r="Y134" i="10"/>
  <c r="Z134" i="10" s="1"/>
  <c r="AC134" i="10" s="1"/>
  <c r="AF134" i="10" s="1"/>
  <c r="AB134" i="10"/>
  <c r="AE134" i="10" s="1"/>
  <c r="U142" i="10"/>
  <c r="AA142" i="10" s="1"/>
  <c r="AD142" i="10" s="1"/>
  <c r="AG142" i="10" s="1"/>
  <c r="X135" i="10"/>
  <c r="W135" i="10"/>
  <c r="X139" i="10"/>
  <c r="W139" i="10"/>
  <c r="R147" i="10"/>
  <c r="S147" i="10" s="1"/>
  <c r="T147" i="10" s="1"/>
  <c r="AH133" i="10"/>
  <c r="AI133" i="10" s="1"/>
  <c r="V136" i="10"/>
  <c r="AA136" i="10"/>
  <c r="AD136" i="10" s="1"/>
  <c r="AG136" i="10" s="1"/>
  <c r="V140" i="10"/>
  <c r="AA140" i="10"/>
  <c r="AD140" i="10" s="1"/>
  <c r="AG140" i="10" s="1"/>
  <c r="V144" i="10"/>
  <c r="AA144" i="10"/>
  <c r="AD144" i="10" s="1"/>
  <c r="AG144" i="10" s="1"/>
  <c r="Q121" i="2"/>
  <c r="R121" i="2" s="1"/>
  <c r="S121" i="2" s="1"/>
  <c r="T121" i="2" s="1"/>
  <c r="U121" i="2" s="1"/>
  <c r="AN124" i="2"/>
  <c r="AN139" i="2"/>
  <c r="AN134" i="2"/>
  <c r="AN144" i="2"/>
  <c r="AN129" i="2"/>
  <c r="S119" i="2"/>
  <c r="T119" i="2" s="1"/>
  <c r="S115" i="2"/>
  <c r="T115" i="2" s="1"/>
  <c r="O124" i="2"/>
  <c r="K126" i="2"/>
  <c r="L125" i="2"/>
  <c r="M125" i="2" s="1"/>
  <c r="N125" i="2" s="1"/>
  <c r="P123" i="2"/>
  <c r="AJ137" i="10" l="1"/>
  <c r="AL137" i="10"/>
  <c r="AH118" i="2"/>
  <c r="AI118" i="2" s="1"/>
  <c r="AK118" i="2" s="1"/>
  <c r="Y108" i="2"/>
  <c r="Z108" i="2" s="1"/>
  <c r="AC108" i="2" s="1"/>
  <c r="AF108" i="2" s="1"/>
  <c r="AB108" i="2"/>
  <c r="AE108" i="2" s="1"/>
  <c r="AK133" i="11"/>
  <c r="AJ133" i="11"/>
  <c r="AM133" i="11" s="1"/>
  <c r="AO133" i="11" s="1"/>
  <c r="V142" i="11"/>
  <c r="W142" i="11" s="1"/>
  <c r="Y142" i="11" s="1"/>
  <c r="AH138" i="11"/>
  <c r="AI138" i="11" s="1"/>
  <c r="AL138" i="11" s="1"/>
  <c r="X137" i="11"/>
  <c r="W137" i="11"/>
  <c r="W141" i="11"/>
  <c r="X141" i="11"/>
  <c r="U146" i="11"/>
  <c r="V146" i="11" s="1"/>
  <c r="W144" i="11"/>
  <c r="X144" i="11"/>
  <c r="AB143" i="11"/>
  <c r="AE143" i="11" s="1"/>
  <c r="Y143" i="11"/>
  <c r="Z143" i="11" s="1"/>
  <c r="AC143" i="11" s="1"/>
  <c r="AF143" i="11" s="1"/>
  <c r="U147" i="11"/>
  <c r="V145" i="11"/>
  <c r="W140" i="11"/>
  <c r="X140" i="11"/>
  <c r="AB135" i="11"/>
  <c r="AE135" i="11" s="1"/>
  <c r="Y135" i="11"/>
  <c r="Z135" i="11" s="1"/>
  <c r="AC135" i="11" s="1"/>
  <c r="AF135" i="11" s="1"/>
  <c r="AA141" i="11"/>
  <c r="AD141" i="11" s="1"/>
  <c r="AG141" i="11" s="1"/>
  <c r="Y139" i="11"/>
  <c r="Z139" i="11" s="1"/>
  <c r="AC139" i="11" s="1"/>
  <c r="AF139" i="11" s="1"/>
  <c r="AB139" i="11"/>
  <c r="AE139" i="11" s="1"/>
  <c r="AH134" i="11"/>
  <c r="AI134" i="11" s="1"/>
  <c r="AA145" i="11"/>
  <c r="AD145" i="11" s="1"/>
  <c r="AG145" i="11" s="1"/>
  <c r="AB136" i="11"/>
  <c r="AE136" i="11" s="1"/>
  <c r="Y136" i="11"/>
  <c r="Z136" i="11" s="1"/>
  <c r="AC136" i="11" s="1"/>
  <c r="AF136" i="11" s="1"/>
  <c r="V121" i="2"/>
  <c r="W121" i="2" s="1"/>
  <c r="AL109" i="2"/>
  <c r="AJ109" i="2"/>
  <c r="AK109" i="2"/>
  <c r="AL118" i="2"/>
  <c r="AJ118" i="2"/>
  <c r="U115" i="2"/>
  <c r="V115" i="2" s="1"/>
  <c r="O125" i="2"/>
  <c r="U125" i="2" s="1"/>
  <c r="AK125" i="2"/>
  <c r="U119" i="2"/>
  <c r="V119" i="2" s="1"/>
  <c r="AB120" i="2"/>
  <c r="AE120" i="2" s="1"/>
  <c r="AA121" i="2"/>
  <c r="AD121" i="2" s="1"/>
  <c r="AG121" i="2" s="1"/>
  <c r="Z120" i="2"/>
  <c r="AC120" i="2" s="1"/>
  <c r="AF120" i="2" s="1"/>
  <c r="AB113" i="2"/>
  <c r="AE113" i="2" s="1"/>
  <c r="Y113" i="2"/>
  <c r="Z113" i="2" s="1"/>
  <c r="AC113" i="2" s="1"/>
  <c r="AF113" i="2" s="1"/>
  <c r="Y114" i="2"/>
  <c r="Z114" i="2" s="1"/>
  <c r="AC114" i="2" s="1"/>
  <c r="AF114" i="2" s="1"/>
  <c r="AB114" i="2"/>
  <c r="AE114" i="2" s="1"/>
  <c r="V141" i="10"/>
  <c r="U147" i="10"/>
  <c r="V147" i="10" s="1"/>
  <c r="U146" i="10"/>
  <c r="V146" i="10" s="1"/>
  <c r="W146" i="10" s="1"/>
  <c r="X144" i="10"/>
  <c r="W144" i="10"/>
  <c r="W136" i="10"/>
  <c r="X136" i="10"/>
  <c r="Y139" i="10"/>
  <c r="Z139" i="10" s="1"/>
  <c r="AC139" i="10" s="1"/>
  <c r="AF139" i="10" s="1"/>
  <c r="AB139" i="10"/>
  <c r="AE139" i="10" s="1"/>
  <c r="AM138" i="10"/>
  <c r="AO138" i="10" s="1"/>
  <c r="AL133" i="10"/>
  <c r="AJ133" i="10"/>
  <c r="AK133" i="10"/>
  <c r="AB135" i="10"/>
  <c r="AE135" i="10" s="1"/>
  <c r="Y135" i="10"/>
  <c r="Z135" i="10" s="1"/>
  <c r="AC135" i="10" s="1"/>
  <c r="AF135" i="10" s="1"/>
  <c r="AH134" i="10"/>
  <c r="AI134" i="10" s="1"/>
  <c r="Y143" i="10"/>
  <c r="Z143" i="10" s="1"/>
  <c r="AC143" i="10" s="1"/>
  <c r="AF143" i="10" s="1"/>
  <c r="AB143" i="10"/>
  <c r="AE143" i="10" s="1"/>
  <c r="W140" i="10"/>
  <c r="X140" i="10"/>
  <c r="V142" i="10"/>
  <c r="V145" i="10"/>
  <c r="AA145" i="10"/>
  <c r="AD145" i="10" s="1"/>
  <c r="AG145" i="10" s="1"/>
  <c r="P124" i="2"/>
  <c r="Q124" i="2" s="1"/>
  <c r="Q123" i="2"/>
  <c r="R123" i="2" s="1"/>
  <c r="S123" i="2" s="1"/>
  <c r="T123" i="2" s="1"/>
  <c r="K127" i="2"/>
  <c r="L126" i="2"/>
  <c r="M126" i="2" s="1"/>
  <c r="AK138" i="11" l="1"/>
  <c r="AM137" i="10"/>
  <c r="AO137" i="10" s="1"/>
  <c r="AH120" i="2"/>
  <c r="AI120" i="2" s="1"/>
  <c r="X121" i="2"/>
  <c r="X142" i="11"/>
  <c r="Z142" i="11" s="1"/>
  <c r="AC142" i="11" s="1"/>
  <c r="AF142" i="11" s="1"/>
  <c r="W115" i="2"/>
  <c r="Y115" i="2" s="1"/>
  <c r="Z115" i="2" s="1"/>
  <c r="AC115" i="2" s="1"/>
  <c r="AF115" i="2" s="1"/>
  <c r="X115" i="2"/>
  <c r="X119" i="2"/>
  <c r="W119" i="2"/>
  <c r="Y119" i="2" s="1"/>
  <c r="Y121" i="2"/>
  <c r="Z121" i="2" s="1"/>
  <c r="AC121" i="2" s="1"/>
  <c r="AF121" i="2" s="1"/>
  <c r="AH121" i="2" s="1"/>
  <c r="AI121" i="2" s="1"/>
  <c r="AB121" i="2"/>
  <c r="AE121" i="2" s="1"/>
  <c r="AH108" i="2"/>
  <c r="AI108" i="2" s="1"/>
  <c r="AB142" i="11"/>
  <c r="AE142" i="11" s="1"/>
  <c r="AJ138" i="11"/>
  <c r="AM138" i="11" s="1"/>
  <c r="AO138" i="11" s="1"/>
  <c r="AH143" i="11"/>
  <c r="AI143" i="11" s="1"/>
  <c r="AH135" i="11"/>
  <c r="AI135" i="11" s="1"/>
  <c r="AJ135" i="11" s="1"/>
  <c r="Y137" i="11"/>
  <c r="Z137" i="11" s="1"/>
  <c r="AC137" i="11" s="1"/>
  <c r="AF137" i="11" s="1"/>
  <c r="AB137" i="11"/>
  <c r="AE137" i="11" s="1"/>
  <c r="X146" i="11"/>
  <c r="W146" i="11"/>
  <c r="Y144" i="11"/>
  <c r="Z144" i="11" s="1"/>
  <c r="AC144" i="11" s="1"/>
  <c r="AF144" i="11" s="1"/>
  <c r="AB144" i="11"/>
  <c r="AE144" i="11" s="1"/>
  <c r="AA146" i="11"/>
  <c r="AD146" i="11" s="1"/>
  <c r="AG146" i="11" s="1"/>
  <c r="AH136" i="11"/>
  <c r="AI136" i="11" s="1"/>
  <c r="AH139" i="11"/>
  <c r="AI139" i="11" s="1"/>
  <c r="W145" i="11"/>
  <c r="X145" i="11"/>
  <c r="AA147" i="11"/>
  <c r="AD147" i="11" s="1"/>
  <c r="AG147" i="11" s="1"/>
  <c r="AL134" i="11"/>
  <c r="AJ134" i="11"/>
  <c r="AK134" i="11"/>
  <c r="AB140" i="11"/>
  <c r="AE140" i="11" s="1"/>
  <c r="Y140" i="11"/>
  <c r="Z140" i="11" s="1"/>
  <c r="AC140" i="11" s="1"/>
  <c r="AF140" i="11" s="1"/>
  <c r="V147" i="11"/>
  <c r="AL143" i="11"/>
  <c r="AJ143" i="11"/>
  <c r="AK143" i="11"/>
  <c r="Y141" i="11"/>
  <c r="Z141" i="11" s="1"/>
  <c r="AC141" i="11" s="1"/>
  <c r="AF141" i="11" s="1"/>
  <c r="AB141" i="11"/>
  <c r="AE141" i="11" s="1"/>
  <c r="AM133" i="10"/>
  <c r="AO133" i="10" s="1"/>
  <c r="AH143" i="10"/>
  <c r="AI143" i="10" s="1"/>
  <c r="AL143" i="10" s="1"/>
  <c r="AH113" i="2"/>
  <c r="AI113" i="2" s="1"/>
  <c r="AA119" i="2"/>
  <c r="AD119" i="2" s="1"/>
  <c r="AG119" i="2" s="1"/>
  <c r="AA115" i="2"/>
  <c r="AD115" i="2" s="1"/>
  <c r="AG115" i="2" s="1"/>
  <c r="U123" i="2"/>
  <c r="V123" i="2" s="1"/>
  <c r="AB119" i="2"/>
  <c r="AE119" i="2" s="1"/>
  <c r="P125" i="2"/>
  <c r="AH114" i="2"/>
  <c r="AI114" i="2" s="1"/>
  <c r="AJ120" i="2"/>
  <c r="AL120" i="2"/>
  <c r="AK120" i="2"/>
  <c r="AH139" i="10"/>
  <c r="AI139" i="10" s="1"/>
  <c r="AJ139" i="10" s="1"/>
  <c r="X146" i="10"/>
  <c r="AA147" i="10"/>
  <c r="AD147" i="10" s="1"/>
  <c r="AG147" i="10" s="1"/>
  <c r="W141" i="10"/>
  <c r="X141" i="10"/>
  <c r="Y146" i="10"/>
  <c r="Z146" i="10" s="1"/>
  <c r="AC146" i="10" s="1"/>
  <c r="AF146" i="10" s="1"/>
  <c r="AB146" i="10"/>
  <c r="AE146" i="10" s="1"/>
  <c r="W147" i="10"/>
  <c r="X147" i="10"/>
  <c r="AB144" i="10"/>
  <c r="AE144" i="10" s="1"/>
  <c r="Y144" i="10"/>
  <c r="Z144" i="10" s="1"/>
  <c r="AC144" i="10" s="1"/>
  <c r="AF144" i="10" s="1"/>
  <c r="W145" i="10"/>
  <c r="X145" i="10"/>
  <c r="AL134" i="10"/>
  <c r="AJ134" i="10"/>
  <c r="AK134" i="10"/>
  <c r="X142" i="10"/>
  <c r="W142" i="10"/>
  <c r="AH135" i="10"/>
  <c r="AI135" i="10" s="1"/>
  <c r="Y140" i="10"/>
  <c r="Z140" i="10" s="1"/>
  <c r="AC140" i="10" s="1"/>
  <c r="AF140" i="10" s="1"/>
  <c r="AB140" i="10"/>
  <c r="AE140" i="10" s="1"/>
  <c r="Y136" i="10"/>
  <c r="Z136" i="10" s="1"/>
  <c r="AC136" i="10" s="1"/>
  <c r="AF136" i="10" s="1"/>
  <c r="AB136" i="10"/>
  <c r="AE136" i="10" s="1"/>
  <c r="AA146" i="10"/>
  <c r="AD146" i="10" s="1"/>
  <c r="AG146" i="10" s="1"/>
  <c r="R124" i="2"/>
  <c r="S124" i="2" s="1"/>
  <c r="T124" i="2" s="1"/>
  <c r="K128" i="2"/>
  <c r="L127" i="2"/>
  <c r="M127" i="2" s="1"/>
  <c r="Q125" i="2"/>
  <c r="AH142" i="11" l="1"/>
  <c r="AI142" i="11" s="1"/>
  <c r="AB115" i="2"/>
  <c r="AE115" i="2" s="1"/>
  <c r="AK135" i="11"/>
  <c r="Z119" i="2"/>
  <c r="AC119" i="2" s="1"/>
  <c r="AF119" i="2" s="1"/>
  <c r="AH119" i="2" s="1"/>
  <c r="AI119" i="2" s="1"/>
  <c r="AL135" i="11"/>
  <c r="AM135" i="11" s="1"/>
  <c r="AO135" i="11" s="1"/>
  <c r="AL108" i="2"/>
  <c r="AJ108" i="2"/>
  <c r="AK108" i="2"/>
  <c r="AL139" i="10"/>
  <c r="AM139" i="10" s="1"/>
  <c r="AO139" i="10" s="1"/>
  <c r="AK143" i="10"/>
  <c r="AJ143" i="10"/>
  <c r="AM143" i="10" s="1"/>
  <c r="AO143" i="10" s="1"/>
  <c r="AH140" i="10"/>
  <c r="AI140" i="10" s="1"/>
  <c r="AJ140" i="10" s="1"/>
  <c r="AH137" i="11"/>
  <c r="AI137" i="11" s="1"/>
  <c r="AJ137" i="11" s="1"/>
  <c r="AK139" i="10"/>
  <c r="AH141" i="11"/>
  <c r="AI141" i="11" s="1"/>
  <c r="AL141" i="11" s="1"/>
  <c r="AH140" i="11"/>
  <c r="AI140" i="11" s="1"/>
  <c r="AL140" i="11" s="1"/>
  <c r="Y145" i="11"/>
  <c r="Z145" i="11" s="1"/>
  <c r="AC145" i="11" s="1"/>
  <c r="AF145" i="11" s="1"/>
  <c r="AB145" i="11"/>
  <c r="AE145" i="11" s="1"/>
  <c r="AL139" i="11"/>
  <c r="AJ139" i="11"/>
  <c r="AK139" i="11"/>
  <c r="AH144" i="11"/>
  <c r="AI144" i="11" s="1"/>
  <c r="AB146" i="11"/>
  <c r="AE146" i="11" s="1"/>
  <c r="Y146" i="11"/>
  <c r="Z146" i="11" s="1"/>
  <c r="AC146" i="11" s="1"/>
  <c r="AF146" i="11" s="1"/>
  <c r="AJ136" i="11"/>
  <c r="AL136" i="11"/>
  <c r="AK136" i="11"/>
  <c r="AM143" i="11"/>
  <c r="AO143" i="11" s="1"/>
  <c r="AL142" i="11"/>
  <c r="AJ142" i="11"/>
  <c r="AK142" i="11"/>
  <c r="X147" i="11"/>
  <c r="W147" i="11"/>
  <c r="AM134" i="11"/>
  <c r="AO134" i="11" s="1"/>
  <c r="X123" i="2"/>
  <c r="W123" i="2"/>
  <c r="AJ121" i="2"/>
  <c r="AL121" i="2"/>
  <c r="AK121" i="2"/>
  <c r="AJ113" i="2"/>
  <c r="AL113" i="2"/>
  <c r="AK113" i="2"/>
  <c r="U124" i="2"/>
  <c r="R125" i="2"/>
  <c r="S125" i="2" s="1"/>
  <c r="T125" i="2" s="1"/>
  <c r="AH115" i="2"/>
  <c r="AI115" i="2" s="1"/>
  <c r="AL114" i="2"/>
  <c r="AJ114" i="2"/>
  <c r="AK114" i="2"/>
  <c r="AA123" i="2"/>
  <c r="AD123" i="2" s="1"/>
  <c r="AG123" i="2" s="1"/>
  <c r="AH136" i="10"/>
  <c r="AI136" i="10" s="1"/>
  <c r="AK136" i="10" s="1"/>
  <c r="AB141" i="10"/>
  <c r="AE141" i="10" s="1"/>
  <c r="Y141" i="10"/>
  <c r="Z141" i="10" s="1"/>
  <c r="AC141" i="10" s="1"/>
  <c r="AF141" i="10" s="1"/>
  <c r="AK140" i="10"/>
  <c r="AM134" i="10"/>
  <c r="AO134" i="10" s="1"/>
  <c r="Y147" i="10"/>
  <c r="Z147" i="10" s="1"/>
  <c r="AC147" i="10" s="1"/>
  <c r="AF147" i="10" s="1"/>
  <c r="AB147" i="10"/>
  <c r="AE147" i="10" s="1"/>
  <c r="AB142" i="10"/>
  <c r="AE142" i="10" s="1"/>
  <c r="Y142" i="10"/>
  <c r="Z142" i="10" s="1"/>
  <c r="AC142" i="10" s="1"/>
  <c r="AF142" i="10" s="1"/>
  <c r="Y145" i="10"/>
  <c r="Z145" i="10" s="1"/>
  <c r="AC145" i="10" s="1"/>
  <c r="AF145" i="10" s="1"/>
  <c r="AB145" i="10"/>
  <c r="AE145" i="10" s="1"/>
  <c r="AH144" i="10"/>
  <c r="AI144" i="10" s="1"/>
  <c r="AH146" i="10"/>
  <c r="AI146" i="10" s="1"/>
  <c r="AJ135" i="10"/>
  <c r="AL135" i="10"/>
  <c r="AK135" i="10"/>
  <c r="AM108" i="2"/>
  <c r="AO108" i="2" s="1"/>
  <c r="K129" i="2"/>
  <c r="L128" i="2"/>
  <c r="M128" i="2" s="1"/>
  <c r="N128" i="2" s="1"/>
  <c r="AJ119" i="2" l="1"/>
  <c r="AK119" i="2"/>
  <c r="AL119" i="2"/>
  <c r="AK141" i="11"/>
  <c r="AL137" i="11"/>
  <c r="AL140" i="10"/>
  <c r="AM140" i="10" s="1"/>
  <c r="AO140" i="10" s="1"/>
  <c r="AK140" i="11"/>
  <c r="AJ140" i="11"/>
  <c r="AJ141" i="11"/>
  <c r="AK137" i="11"/>
  <c r="AM136" i="11"/>
  <c r="AO136" i="11" s="1"/>
  <c r="AB147" i="11"/>
  <c r="AE147" i="11" s="1"/>
  <c r="Y147" i="11"/>
  <c r="Z147" i="11" s="1"/>
  <c r="AC147" i="11" s="1"/>
  <c r="AF147" i="11" s="1"/>
  <c r="AM139" i="11"/>
  <c r="AO139" i="11" s="1"/>
  <c r="AH146" i="11"/>
  <c r="AI146" i="11" s="1"/>
  <c r="AM142" i="11"/>
  <c r="AO142" i="11" s="1"/>
  <c r="AL144" i="11"/>
  <c r="AJ144" i="11"/>
  <c r="AK144" i="11"/>
  <c r="AH145" i="11"/>
  <c r="AI145" i="11" s="1"/>
  <c r="AL136" i="10"/>
  <c r="AJ115" i="2"/>
  <c r="AL115" i="2"/>
  <c r="AK115" i="2"/>
  <c r="AC125" i="2"/>
  <c r="AF125" i="2" s="1"/>
  <c r="Z125" i="2"/>
  <c r="AD125" i="2"/>
  <c r="AG125" i="2" s="1"/>
  <c r="V125" i="2"/>
  <c r="X125" i="2"/>
  <c r="W125" i="2"/>
  <c r="AB125" i="2"/>
  <c r="AE125" i="2" s="1"/>
  <c r="Y125" i="2"/>
  <c r="AA125" i="2"/>
  <c r="AB123" i="2"/>
  <c r="AE123" i="2" s="1"/>
  <c r="Y123" i="2"/>
  <c r="Z123" i="2" s="1"/>
  <c r="AC123" i="2" s="1"/>
  <c r="AF123" i="2" s="1"/>
  <c r="V124" i="2"/>
  <c r="AA124" i="2"/>
  <c r="AD124" i="2" s="1"/>
  <c r="AG124" i="2" s="1"/>
  <c r="AJ136" i="10"/>
  <c r="AH141" i="10"/>
  <c r="AI141" i="10" s="1"/>
  <c r="AL144" i="10"/>
  <c r="AJ144" i="10"/>
  <c r="AK144" i="10"/>
  <c r="AH142" i="10"/>
  <c r="AI142" i="10" s="1"/>
  <c r="AJ146" i="10"/>
  <c r="AL146" i="10"/>
  <c r="AK146" i="10"/>
  <c r="AM135" i="10"/>
  <c r="AO135" i="10" s="1"/>
  <c r="AH145" i="10"/>
  <c r="AI145" i="10" s="1"/>
  <c r="AH147" i="10"/>
  <c r="AI147" i="10" s="1"/>
  <c r="AM120" i="2"/>
  <c r="AO120" i="2" s="1"/>
  <c r="AM109" i="2"/>
  <c r="AO109" i="2" s="1"/>
  <c r="AP108" i="2" s="1"/>
  <c r="AN125" i="2" s="1"/>
  <c r="AM118" i="2"/>
  <c r="AO118" i="2" s="1"/>
  <c r="AM114" i="2"/>
  <c r="AO114" i="2" s="1"/>
  <c r="K130" i="2"/>
  <c r="L129" i="2"/>
  <c r="M129" i="2" s="1"/>
  <c r="N129" i="2" s="1"/>
  <c r="O128" i="2"/>
  <c r="AM140" i="11" l="1"/>
  <c r="AO140" i="11" s="1"/>
  <c r="AM137" i="11"/>
  <c r="AO137" i="11" s="1"/>
  <c r="AM141" i="11"/>
  <c r="AO141" i="11" s="1"/>
  <c r="AP138" i="11" s="1"/>
  <c r="AH123" i="2"/>
  <c r="AI123" i="2" s="1"/>
  <c r="AP133" i="11"/>
  <c r="AM136" i="10"/>
  <c r="AO136" i="10" s="1"/>
  <c r="AP133" i="10" s="1"/>
  <c r="AM144" i="11"/>
  <c r="AO144" i="11" s="1"/>
  <c r="AJ145" i="11"/>
  <c r="AL145" i="11"/>
  <c r="AK145" i="11"/>
  <c r="AJ146" i="11"/>
  <c r="AL146" i="11"/>
  <c r="AK146" i="11"/>
  <c r="AH147" i="11"/>
  <c r="AI147" i="11" s="1"/>
  <c r="W124" i="2"/>
  <c r="X124" i="2"/>
  <c r="AL123" i="2"/>
  <c r="AJ123" i="2"/>
  <c r="AK123" i="2"/>
  <c r="AH125" i="2"/>
  <c r="AI125" i="2" s="1"/>
  <c r="AL141" i="10"/>
  <c r="AK141" i="10"/>
  <c r="AJ141" i="10"/>
  <c r="AL147" i="10"/>
  <c r="AJ147" i="10"/>
  <c r="AK147" i="10"/>
  <c r="AL142" i="10"/>
  <c r="AJ142" i="10"/>
  <c r="AK142" i="10"/>
  <c r="AJ145" i="10"/>
  <c r="AL145" i="10"/>
  <c r="AK145" i="10"/>
  <c r="AM146" i="10"/>
  <c r="AO146" i="10" s="1"/>
  <c r="AM144" i="10"/>
  <c r="AO144" i="10" s="1"/>
  <c r="AN135" i="2"/>
  <c r="AN145" i="2"/>
  <c r="AN130" i="2"/>
  <c r="AN140" i="2"/>
  <c r="AM119" i="2"/>
  <c r="AO119" i="2" s="1"/>
  <c r="AM115" i="2"/>
  <c r="AO115" i="2" s="1"/>
  <c r="AM113" i="2"/>
  <c r="AO113" i="2" s="1"/>
  <c r="AM121" i="2"/>
  <c r="AO121" i="2" s="1"/>
  <c r="K131" i="2"/>
  <c r="L130" i="2"/>
  <c r="M130" i="2" s="1"/>
  <c r="N130" i="2" s="1"/>
  <c r="O129" i="2"/>
  <c r="P128" i="2"/>
  <c r="AM145" i="11" l="1"/>
  <c r="AO145" i="11" s="1"/>
  <c r="AL147" i="11"/>
  <c r="AJ147" i="11"/>
  <c r="AK147" i="11"/>
  <c r="AM146" i="11"/>
  <c r="AO146" i="11" s="1"/>
  <c r="Y124" i="2"/>
  <c r="Z124" i="2" s="1"/>
  <c r="AC124" i="2" s="1"/>
  <c r="AF124" i="2" s="1"/>
  <c r="AB124" i="2"/>
  <c r="AE124" i="2" s="1"/>
  <c r="AJ125" i="2"/>
  <c r="AL125" i="2"/>
  <c r="AM141" i="10"/>
  <c r="AO141" i="10" s="1"/>
  <c r="AM145" i="10"/>
  <c r="AO145" i="10" s="1"/>
  <c r="AM147" i="10"/>
  <c r="AO147" i="10" s="1"/>
  <c r="AM142" i="10"/>
  <c r="AO142" i="10" s="1"/>
  <c r="AP118" i="2"/>
  <c r="AN147" i="2" s="1"/>
  <c r="AP113" i="2"/>
  <c r="AN126" i="2" s="1"/>
  <c r="AO126" i="2" s="1"/>
  <c r="Q128" i="2"/>
  <c r="R128" i="2" s="1"/>
  <c r="K132" i="2"/>
  <c r="L131" i="2"/>
  <c r="M131" i="2" s="1"/>
  <c r="N131" i="2" s="1"/>
  <c r="AK131" i="2" s="1"/>
  <c r="P129" i="2"/>
  <c r="O130" i="2"/>
  <c r="AM147" i="11" l="1"/>
  <c r="AO147" i="11" s="1"/>
  <c r="AO203" i="10"/>
  <c r="AH124" i="2"/>
  <c r="AI124" i="2" s="1"/>
  <c r="AP138" i="10"/>
  <c r="AP143" i="10"/>
  <c r="AN137" i="2"/>
  <c r="AN132" i="2"/>
  <c r="AO132" i="2" s="1"/>
  <c r="AN127" i="2"/>
  <c r="AO127" i="2" s="1"/>
  <c r="AN142" i="2"/>
  <c r="AN141" i="2"/>
  <c r="AM123" i="2"/>
  <c r="AO123" i="2" s="1"/>
  <c r="AN136" i="2"/>
  <c r="AN131" i="2"/>
  <c r="AN146" i="2"/>
  <c r="Q129" i="2"/>
  <c r="R129" i="2" s="1"/>
  <c r="S129" i="2" s="1"/>
  <c r="T129" i="2" s="1"/>
  <c r="S128" i="2"/>
  <c r="T128" i="2" s="1"/>
  <c r="P130" i="2"/>
  <c r="O131" i="2"/>
  <c r="U131" i="2" s="1"/>
  <c r="K133" i="2"/>
  <c r="L132" i="2"/>
  <c r="M132" i="2" s="1"/>
  <c r="AO203" i="11" l="1"/>
  <c r="AP143" i="11"/>
  <c r="U129" i="2"/>
  <c r="V129" i="2" s="1"/>
  <c r="U128" i="2"/>
  <c r="V128" i="2" s="1"/>
  <c r="W128" i="2" s="1"/>
  <c r="AL124" i="2"/>
  <c r="AJ124" i="2"/>
  <c r="AK124" i="2"/>
  <c r="AM125" i="2"/>
  <c r="AO125" i="2" s="1"/>
  <c r="Q130" i="2"/>
  <c r="R130" i="2" s="1"/>
  <c r="L133" i="2"/>
  <c r="M133" i="2" s="1"/>
  <c r="N133" i="2" s="1"/>
  <c r="K134" i="2"/>
  <c r="K138" i="2"/>
  <c r="P131" i="2"/>
  <c r="W129" i="2" l="1"/>
  <c r="Y129" i="2" s="1"/>
  <c r="X129" i="2"/>
  <c r="AA128" i="2"/>
  <c r="AD128" i="2" s="1"/>
  <c r="AG128" i="2" s="1"/>
  <c r="Y128" i="2"/>
  <c r="AB128" i="2"/>
  <c r="AE128" i="2" s="1"/>
  <c r="X128" i="2"/>
  <c r="AB129" i="2"/>
  <c r="AE129" i="2" s="1"/>
  <c r="AA129" i="2"/>
  <c r="AD129" i="2" s="1"/>
  <c r="AG129" i="2" s="1"/>
  <c r="AM124" i="2"/>
  <c r="AO124" i="2" s="1"/>
  <c r="AP123" i="2" s="1"/>
  <c r="Q131" i="2"/>
  <c r="R131" i="2" s="1"/>
  <c r="S131" i="2" s="1"/>
  <c r="T131" i="2" s="1"/>
  <c r="S130" i="2"/>
  <c r="T130" i="2" s="1"/>
  <c r="L138" i="2"/>
  <c r="M138" i="2" s="1"/>
  <c r="N138" i="2" s="1"/>
  <c r="K143" i="2"/>
  <c r="K139" i="2"/>
  <c r="K135" i="2"/>
  <c r="L134" i="2"/>
  <c r="M134" i="2" s="1"/>
  <c r="N134" i="2" s="1"/>
  <c r="O133" i="2"/>
  <c r="Z129" i="2" l="1"/>
  <c r="AC129" i="2" s="1"/>
  <c r="AF129" i="2" s="1"/>
  <c r="AH129" i="2" s="1"/>
  <c r="AI129" i="2" s="1"/>
  <c r="AC131" i="2"/>
  <c r="AF131" i="2" s="1"/>
  <c r="W131" i="2"/>
  <c r="AB131" i="2"/>
  <c r="AE131" i="2" s="1"/>
  <c r="Z131" i="2"/>
  <c r="V131" i="2"/>
  <c r="Y131" i="2"/>
  <c r="AA131" i="2"/>
  <c r="X131" i="2"/>
  <c r="AD131" i="2"/>
  <c r="AG131" i="2" s="1"/>
  <c r="O138" i="2"/>
  <c r="U130" i="2"/>
  <c r="Z128" i="2"/>
  <c r="AC128" i="2" s="1"/>
  <c r="AF128" i="2" s="1"/>
  <c r="AH128" i="2" s="1"/>
  <c r="AI128" i="2" s="1"/>
  <c r="P133" i="2"/>
  <c r="Q133" i="2" s="1"/>
  <c r="K140" i="2"/>
  <c r="L139" i="2"/>
  <c r="M139" i="2" s="1"/>
  <c r="N139" i="2" s="1"/>
  <c r="O134" i="2"/>
  <c r="K144" i="2"/>
  <c r="L143" i="2"/>
  <c r="M143" i="2" s="1"/>
  <c r="N143" i="2" s="1"/>
  <c r="K136" i="2"/>
  <c r="L135" i="2"/>
  <c r="M135" i="2" s="1"/>
  <c r="N135" i="2" s="1"/>
  <c r="P138" i="2"/>
  <c r="Q138" i="2" s="1"/>
  <c r="R138" i="2" s="1"/>
  <c r="AJ128" i="2" l="1"/>
  <c r="AL128" i="2"/>
  <c r="AK128" i="2"/>
  <c r="O135" i="2"/>
  <c r="V130" i="2"/>
  <c r="O139" i="2"/>
  <c r="AH131" i="2"/>
  <c r="AI131" i="2" s="1"/>
  <c r="AA130" i="2"/>
  <c r="AD130" i="2" s="1"/>
  <c r="AG130" i="2" s="1"/>
  <c r="O143" i="2"/>
  <c r="AJ129" i="2"/>
  <c r="AL129" i="2"/>
  <c r="AK129" i="2"/>
  <c r="P143" i="2"/>
  <c r="Q143" i="2" s="1"/>
  <c r="S138" i="2"/>
  <c r="T138" i="2" s="1"/>
  <c r="P134" i="2"/>
  <c r="K145" i="2"/>
  <c r="L144" i="2"/>
  <c r="M144" i="2" s="1"/>
  <c r="N144" i="2" s="1"/>
  <c r="P139" i="2"/>
  <c r="K137" i="2"/>
  <c r="L137" i="2" s="1"/>
  <c r="M137" i="2" s="1"/>
  <c r="N137" i="2" s="1"/>
  <c r="AK137" i="2" s="1"/>
  <c r="L136" i="2"/>
  <c r="M136" i="2" s="1"/>
  <c r="N136" i="2" s="1"/>
  <c r="K141" i="2"/>
  <c r="L140" i="2"/>
  <c r="M140" i="2" s="1"/>
  <c r="N140" i="2" s="1"/>
  <c r="R133" i="2"/>
  <c r="S133" i="2" s="1"/>
  <c r="T133" i="2" s="1"/>
  <c r="AJ131" i="2" l="1"/>
  <c r="AL131" i="2"/>
  <c r="O144" i="2"/>
  <c r="U138" i="2"/>
  <c r="AA138" i="2" s="1"/>
  <c r="AD138" i="2" s="1"/>
  <c r="AG138" i="2" s="1"/>
  <c r="X130" i="2"/>
  <c r="W130" i="2"/>
  <c r="O140" i="2"/>
  <c r="O136" i="2"/>
  <c r="P136" i="2" s="1"/>
  <c r="Q136" i="2" s="1"/>
  <c r="U133" i="2"/>
  <c r="P135" i="2"/>
  <c r="R143" i="2"/>
  <c r="K142" i="2"/>
  <c r="L142" i="2" s="1"/>
  <c r="M142" i="2" s="1"/>
  <c r="N142" i="2" s="1"/>
  <c r="L141" i="2"/>
  <c r="M141" i="2" s="1"/>
  <c r="N141" i="2" s="1"/>
  <c r="K146" i="2"/>
  <c r="L145" i="2"/>
  <c r="M145" i="2" s="1"/>
  <c r="N145" i="2" s="1"/>
  <c r="O137" i="2"/>
  <c r="U137" i="2" s="1"/>
  <c r="Q139" i="2"/>
  <c r="Q135" i="2"/>
  <c r="Q134" i="2"/>
  <c r="R134" i="2" s="1"/>
  <c r="O145" i="2" l="1"/>
  <c r="Y130" i="2"/>
  <c r="Z130" i="2" s="1"/>
  <c r="AC130" i="2" s="1"/>
  <c r="AF130" i="2" s="1"/>
  <c r="AB130" i="2"/>
  <c r="AE130" i="2" s="1"/>
  <c r="P140" i="2"/>
  <c r="Q140" i="2" s="1"/>
  <c r="P144" i="2"/>
  <c r="Q144" i="2" s="1"/>
  <c r="R144" i="2" s="1"/>
  <c r="S144" i="2" s="1"/>
  <c r="T144" i="2" s="1"/>
  <c r="AA133" i="2"/>
  <c r="AD133" i="2" s="1"/>
  <c r="AG133" i="2" s="1"/>
  <c r="V133" i="2"/>
  <c r="V138" i="2"/>
  <c r="R139" i="2"/>
  <c r="S139" i="2" s="1"/>
  <c r="T139" i="2" s="1"/>
  <c r="S134" i="2"/>
  <c r="T134" i="2" s="1"/>
  <c r="S143" i="2"/>
  <c r="T143" i="2" s="1"/>
  <c r="R136" i="2"/>
  <c r="S136" i="2" s="1"/>
  <c r="T136" i="2" s="1"/>
  <c r="U136" i="2" s="1"/>
  <c r="P145" i="2"/>
  <c r="P137" i="2"/>
  <c r="Q137" i="2" s="1"/>
  <c r="R137" i="2" s="1"/>
  <c r="R135" i="2"/>
  <c r="S135" i="2" s="1"/>
  <c r="T135" i="2" s="1"/>
  <c r="K147" i="2"/>
  <c r="L147" i="2" s="1"/>
  <c r="M147" i="2" s="1"/>
  <c r="N147" i="2" s="1"/>
  <c r="L146" i="2"/>
  <c r="M146" i="2" s="1"/>
  <c r="N146" i="2" s="1"/>
  <c r="O141" i="2"/>
  <c r="O142" i="2"/>
  <c r="AA136" i="2" l="1"/>
  <c r="AD136" i="2" s="1"/>
  <c r="AG136" i="2" s="1"/>
  <c r="U144" i="2"/>
  <c r="V144" i="2" s="1"/>
  <c r="O146" i="2"/>
  <c r="P146" i="2" s="1"/>
  <c r="U134" i="2"/>
  <c r="X138" i="2"/>
  <c r="W138" i="2"/>
  <c r="AH130" i="2"/>
  <c r="AI130" i="2" s="1"/>
  <c r="U139" i="2"/>
  <c r="W133" i="2"/>
  <c r="X133" i="2"/>
  <c r="U143" i="2"/>
  <c r="V136" i="2"/>
  <c r="X136" i="2" s="1"/>
  <c r="U135" i="2"/>
  <c r="V135" i="2" s="1"/>
  <c r="R140" i="2"/>
  <c r="AM131" i="2"/>
  <c r="AO131" i="2" s="1"/>
  <c r="AM128" i="2"/>
  <c r="AO128" i="2" s="1"/>
  <c r="AM129" i="2"/>
  <c r="AO129" i="2" s="1"/>
  <c r="S137" i="2"/>
  <c r="T137" i="2" s="1"/>
  <c r="Q145" i="2"/>
  <c r="R145" i="2" s="1"/>
  <c r="S140" i="2"/>
  <c r="T140" i="2" s="1"/>
  <c r="P142" i="2"/>
  <c r="O147" i="2"/>
  <c r="P141" i="2"/>
  <c r="Q141" i="2" s="1"/>
  <c r="W136" i="2" l="1"/>
  <c r="AB136" i="2" s="1"/>
  <c r="AE136" i="2" s="1"/>
  <c r="W135" i="2"/>
  <c r="X135" i="2"/>
  <c r="X144" i="2"/>
  <c r="W144" i="2"/>
  <c r="Y133" i="2"/>
  <c r="Z133" i="2" s="1"/>
  <c r="AC133" i="2" s="1"/>
  <c r="AF133" i="2" s="1"/>
  <c r="AB133" i="2"/>
  <c r="AE133" i="2" s="1"/>
  <c r="V134" i="2"/>
  <c r="AA144" i="2"/>
  <c r="AD144" i="2" s="1"/>
  <c r="AG144" i="2" s="1"/>
  <c r="AB137" i="2"/>
  <c r="AE137" i="2" s="1"/>
  <c r="AA137" i="2"/>
  <c r="V137" i="2"/>
  <c r="Z137" i="2"/>
  <c r="AD137" i="2"/>
  <c r="AG137" i="2" s="1"/>
  <c r="Y137" i="2"/>
  <c r="AC137" i="2"/>
  <c r="AF137" i="2" s="1"/>
  <c r="W137" i="2"/>
  <c r="X137" i="2"/>
  <c r="V143" i="2"/>
  <c r="AA139" i="2"/>
  <c r="AD139" i="2" s="1"/>
  <c r="AG139" i="2" s="1"/>
  <c r="AJ130" i="2"/>
  <c r="AL130" i="2"/>
  <c r="AK130" i="2"/>
  <c r="AA143" i="2"/>
  <c r="AD143" i="2" s="1"/>
  <c r="AG143" i="2" s="1"/>
  <c r="AB138" i="2"/>
  <c r="AE138" i="2" s="1"/>
  <c r="Y138" i="2"/>
  <c r="Z138" i="2" s="1"/>
  <c r="AC138" i="2" s="1"/>
  <c r="AF138" i="2" s="1"/>
  <c r="U140" i="2"/>
  <c r="AA135" i="2"/>
  <c r="AD135" i="2" s="1"/>
  <c r="AG135" i="2" s="1"/>
  <c r="Y136" i="2"/>
  <c r="Z136" i="2" s="1"/>
  <c r="AC136" i="2" s="1"/>
  <c r="AF136" i="2" s="1"/>
  <c r="AH136" i="2" s="1"/>
  <c r="AI136" i="2" s="1"/>
  <c r="V139" i="2"/>
  <c r="AA134" i="2"/>
  <c r="AD134" i="2" s="1"/>
  <c r="AG134" i="2" s="1"/>
  <c r="P147" i="2"/>
  <c r="Q147" i="2" s="1"/>
  <c r="R147" i="2" s="1"/>
  <c r="S147" i="2" s="1"/>
  <c r="T147" i="2" s="1"/>
  <c r="S145" i="2"/>
  <c r="T145" i="2" s="1"/>
  <c r="Q142" i="2"/>
  <c r="R142" i="2" s="1"/>
  <c r="Q146" i="2"/>
  <c r="R146" i="2" s="1"/>
  <c r="R141" i="2"/>
  <c r="AH133" i="2" l="1"/>
  <c r="AI133" i="2" s="1"/>
  <c r="AL133" i="2" s="1"/>
  <c r="AM130" i="2"/>
  <c r="AO130" i="2" s="1"/>
  <c r="AP128" i="2" s="1"/>
  <c r="AL136" i="2"/>
  <c r="AJ136" i="2"/>
  <c r="AK136" i="2"/>
  <c r="AB144" i="2"/>
  <c r="AE144" i="2" s="1"/>
  <c r="Y144" i="2"/>
  <c r="Z144" i="2" s="1"/>
  <c r="AC144" i="2" s="1"/>
  <c r="AF144" i="2" s="1"/>
  <c r="AH138" i="2"/>
  <c r="AI138" i="2" s="1"/>
  <c r="AH137" i="2"/>
  <c r="AI137" i="2" s="1"/>
  <c r="X134" i="2"/>
  <c r="W134" i="2"/>
  <c r="V140" i="2"/>
  <c r="AJ133" i="2"/>
  <c r="AK133" i="2"/>
  <c r="U145" i="2"/>
  <c r="AA145" i="2" s="1"/>
  <c r="AD145" i="2" s="1"/>
  <c r="AG145" i="2" s="1"/>
  <c r="W139" i="2"/>
  <c r="X139" i="2"/>
  <c r="AA140" i="2"/>
  <c r="AD140" i="2" s="1"/>
  <c r="AG140" i="2" s="1"/>
  <c r="X143" i="2"/>
  <c r="W143" i="2"/>
  <c r="U147" i="2"/>
  <c r="AA147" i="2" s="1"/>
  <c r="AD147" i="2" s="1"/>
  <c r="AG147" i="2" s="1"/>
  <c r="Y135" i="2"/>
  <c r="Z135" i="2" s="1"/>
  <c r="AC135" i="2" s="1"/>
  <c r="AF135" i="2" s="1"/>
  <c r="AB135" i="2"/>
  <c r="AE135" i="2" s="1"/>
  <c r="S142" i="2"/>
  <c r="T142" i="2" s="1"/>
  <c r="S141" i="2"/>
  <c r="T141" i="2" s="1"/>
  <c r="S146" i="2"/>
  <c r="T146" i="2" s="1"/>
  <c r="V147" i="2" l="1"/>
  <c r="AH144" i="2"/>
  <c r="AI144" i="2" s="1"/>
  <c r="AB143" i="2"/>
  <c r="AE143" i="2" s="1"/>
  <c r="Y143" i="2"/>
  <c r="Z143" i="2" s="1"/>
  <c r="AC143" i="2" s="1"/>
  <c r="AF143" i="2" s="1"/>
  <c r="Y139" i="2"/>
  <c r="Z139" i="2" s="1"/>
  <c r="AC139" i="2" s="1"/>
  <c r="AF139" i="2" s="1"/>
  <c r="AB139" i="2"/>
  <c r="AE139" i="2" s="1"/>
  <c r="AJ144" i="2"/>
  <c r="AL144" i="2"/>
  <c r="AK144" i="2"/>
  <c r="AJ137" i="2"/>
  <c r="AL137" i="2"/>
  <c r="X140" i="2"/>
  <c r="W140" i="2"/>
  <c r="U146" i="2"/>
  <c r="V146" i="2" s="1"/>
  <c r="AB134" i="2"/>
  <c r="AE134" i="2" s="1"/>
  <c r="Y134" i="2"/>
  <c r="Z134" i="2" s="1"/>
  <c r="AC134" i="2" s="1"/>
  <c r="AF134" i="2" s="1"/>
  <c r="AJ138" i="2"/>
  <c r="AL138" i="2"/>
  <c r="AK138" i="2"/>
  <c r="U142" i="2"/>
  <c r="AA142" i="2" s="1"/>
  <c r="AD142" i="2" s="1"/>
  <c r="AG142" i="2" s="1"/>
  <c r="AH135" i="2"/>
  <c r="AI135" i="2" s="1"/>
  <c r="V145" i="2"/>
  <c r="U141" i="2"/>
  <c r="AA141" i="2" s="1"/>
  <c r="AD141" i="2" s="1"/>
  <c r="AG141" i="2" s="1"/>
  <c r="AM133" i="2"/>
  <c r="AO133" i="2" s="1"/>
  <c r="AM138" i="2" l="1"/>
  <c r="AO138" i="2" s="1"/>
  <c r="W146" i="2"/>
  <c r="X146" i="2"/>
  <c r="AH134" i="2"/>
  <c r="AI134" i="2" s="1"/>
  <c r="AK134" i="2" s="1"/>
  <c r="AH139" i="2"/>
  <c r="AI139" i="2" s="1"/>
  <c r="AJ139" i="2" s="1"/>
  <c r="X147" i="2"/>
  <c r="W147" i="2"/>
  <c r="AB146" i="2"/>
  <c r="AE146" i="2" s="1"/>
  <c r="Y146" i="2"/>
  <c r="AJ135" i="2"/>
  <c r="AL135" i="2"/>
  <c r="AK135" i="2"/>
  <c r="AL139" i="2"/>
  <c r="AK139" i="2"/>
  <c r="Y140" i="2"/>
  <c r="Z140" i="2" s="1"/>
  <c r="AC140" i="2" s="1"/>
  <c r="AF140" i="2" s="1"/>
  <c r="AB140" i="2"/>
  <c r="AE140" i="2" s="1"/>
  <c r="V141" i="2"/>
  <c r="AL134" i="2"/>
  <c r="X145" i="2"/>
  <c r="W145" i="2"/>
  <c r="V142" i="2"/>
  <c r="AA146" i="2"/>
  <c r="AD146" i="2" s="1"/>
  <c r="AG146" i="2" s="1"/>
  <c r="AH143" i="2"/>
  <c r="AI143" i="2" s="1"/>
  <c r="AM144" i="2"/>
  <c r="AO144" i="2" s="1"/>
  <c r="AM136" i="2"/>
  <c r="AO136" i="2" s="1"/>
  <c r="AJ134" i="2" l="1"/>
  <c r="Z146" i="2"/>
  <c r="AC146" i="2" s="1"/>
  <c r="AF146" i="2" s="1"/>
  <c r="Y147" i="2"/>
  <c r="Z147" i="2" s="1"/>
  <c r="AC147" i="2" s="1"/>
  <c r="AF147" i="2" s="1"/>
  <c r="AB147" i="2"/>
  <c r="AE147" i="2" s="1"/>
  <c r="W142" i="2"/>
  <c r="X142" i="2"/>
  <c r="X141" i="2"/>
  <c r="W141" i="2"/>
  <c r="Y145" i="2"/>
  <c r="Z145" i="2" s="1"/>
  <c r="AC145" i="2" s="1"/>
  <c r="AF145" i="2" s="1"/>
  <c r="AH145" i="2" s="1"/>
  <c r="AI145" i="2" s="1"/>
  <c r="AB145" i="2"/>
  <c r="AE145" i="2" s="1"/>
  <c r="AH140" i="2"/>
  <c r="AI140" i="2" s="1"/>
  <c r="AL143" i="2"/>
  <c r="AJ143" i="2"/>
  <c r="AK143" i="2"/>
  <c r="AH146" i="2"/>
  <c r="AI146" i="2" s="1"/>
  <c r="AM135" i="2"/>
  <c r="AO135" i="2" s="1"/>
  <c r="AM139" i="2"/>
  <c r="AO139" i="2" s="1"/>
  <c r="AM143" i="2" l="1"/>
  <c r="AO143" i="2" s="1"/>
  <c r="AH147" i="2"/>
  <c r="AI147" i="2" s="1"/>
  <c r="AK147" i="2" s="1"/>
  <c r="AL145" i="2"/>
  <c r="AJ145" i="2"/>
  <c r="AK145" i="2"/>
  <c r="Y142" i="2"/>
  <c r="Z142" i="2" s="1"/>
  <c r="AC142" i="2" s="1"/>
  <c r="AF142" i="2" s="1"/>
  <c r="AB142" i="2"/>
  <c r="AE142" i="2" s="1"/>
  <c r="Y141" i="2"/>
  <c r="AB141" i="2"/>
  <c r="AE141" i="2" s="1"/>
  <c r="AL146" i="2"/>
  <c r="AJ146" i="2"/>
  <c r="AK146" i="2"/>
  <c r="AJ140" i="2"/>
  <c r="AL140" i="2"/>
  <c r="AK140" i="2"/>
  <c r="Z141" i="2"/>
  <c r="AC141" i="2" s="1"/>
  <c r="AF141" i="2" s="1"/>
  <c r="AM137" i="2"/>
  <c r="AO137" i="2" s="1"/>
  <c r="AL147" i="2" l="1"/>
  <c r="AJ147" i="2"/>
  <c r="AH141" i="2"/>
  <c r="AI141" i="2" s="1"/>
  <c r="AL141" i="2" s="1"/>
  <c r="AM140" i="2"/>
  <c r="AO140" i="2" s="1"/>
  <c r="AH142" i="2"/>
  <c r="AI142" i="2" s="1"/>
  <c r="AM145" i="2"/>
  <c r="AO145" i="2" s="1"/>
  <c r="AM134" i="2"/>
  <c r="AO134" i="2" s="1"/>
  <c r="AP133" i="2" s="1"/>
  <c r="AK141" i="2" l="1"/>
  <c r="AJ141" i="2"/>
  <c r="AM147" i="2"/>
  <c r="AO147" i="2" s="1"/>
  <c r="AL142" i="2"/>
  <c r="AJ142" i="2"/>
  <c r="AK142" i="2"/>
  <c r="AM142" i="2" l="1"/>
  <c r="AO142" i="2" s="1"/>
  <c r="AM141" i="2"/>
  <c r="AO141" i="2" s="1"/>
  <c r="AM146" i="2" l="1"/>
  <c r="AO146" i="2" s="1"/>
  <c r="AP143" i="2" s="1"/>
  <c r="AP138" i="2"/>
  <c r="L10" i="9" s="1"/>
  <c r="M10" i="9" s="1"/>
  <c r="AO203" i="2" l="1"/>
</calcChain>
</file>

<file path=xl/sharedStrings.xml><?xml version="1.0" encoding="utf-8"?>
<sst xmlns="http://schemas.openxmlformats.org/spreadsheetml/2006/main" count="506" uniqueCount="111">
  <si>
    <t>ESPECIALIZACION  EN RECURSOS HIDRAULICOS  Y MEDIO AMBIENTE</t>
  </si>
  <si>
    <t>N</t>
  </si>
  <si>
    <t>ANCHO EXC</t>
  </si>
  <si>
    <t>DS</t>
  </si>
  <si>
    <t>Etapa</t>
  </si>
  <si>
    <t>Cota del terreno</t>
  </si>
  <si>
    <t>Sub - etapa Aguas arriba</t>
  </si>
  <si>
    <t>clave</t>
  </si>
  <si>
    <t>Sub - etapa Aguas abajo</t>
  </si>
  <si>
    <t>Longitud  receptor</t>
  </si>
  <si>
    <t>Pendiente</t>
  </si>
  <si>
    <t>Diámetro</t>
  </si>
  <si>
    <t>Diámetro       Comercial</t>
  </si>
  <si>
    <t>COSTOS</t>
  </si>
  <si>
    <t>Aguas Arriba</t>
  </si>
  <si>
    <t>Mínimo</t>
  </si>
  <si>
    <t>Tubería</t>
  </si>
  <si>
    <t>Excavación</t>
  </si>
  <si>
    <t>r()</t>
  </si>
  <si>
    <t>f()</t>
  </si>
  <si>
    <t>Aguas</t>
  </si>
  <si>
    <t>K</t>
  </si>
  <si>
    <t>(in)</t>
  </si>
  <si>
    <t>($)</t>
  </si>
  <si>
    <t>arriba</t>
  </si>
  <si>
    <t>abajo</t>
  </si>
  <si>
    <t>RECUBRIMIENTO</t>
  </si>
  <si>
    <t>C0</t>
  </si>
  <si>
    <t>Etapas optimas</t>
  </si>
  <si>
    <t>(m)</t>
  </si>
  <si>
    <t>(m/m)</t>
  </si>
  <si>
    <t>PROYECTO DE GRADO</t>
  </si>
  <si>
    <t>PRECIO CON IVA(TUBO)</t>
  </si>
  <si>
    <t>PRECIO CON IVA(m)</t>
  </si>
  <si>
    <t>Unidades de Hunter</t>
  </si>
  <si>
    <t>(L/s)</t>
  </si>
  <si>
    <t>(m3/s)</t>
  </si>
  <si>
    <t>m</t>
  </si>
  <si>
    <t>Ancho excavación</t>
  </si>
  <si>
    <t>$/m3</t>
  </si>
  <si>
    <t>$/m</t>
  </si>
  <si>
    <t>BODEGA TIPO</t>
  </si>
  <si>
    <t>SERV. ELECTRICOS</t>
  </si>
  <si>
    <t>PORTERIA 2 INLCUYE OF ADMON</t>
  </si>
  <si>
    <t>SERVICIOS BOMBAS</t>
  </si>
  <si>
    <t>PORTERIA 1</t>
  </si>
  <si>
    <t>BASURAS Y CONDUCTORES</t>
  </si>
  <si>
    <t>MANTENIMIENTO</t>
  </si>
  <si>
    <t>BLOQUE 1 CROS DOCKING</t>
  </si>
  <si>
    <t>BLOQUE 2 CROS DOCKING</t>
  </si>
  <si>
    <t>ANCHO COMPACTADOR</t>
  </si>
  <si>
    <t>Diámetro interno</t>
  </si>
  <si>
    <t>Capacidad tubo lleno</t>
  </si>
  <si>
    <t xml:space="preserve"> V</t>
  </si>
  <si>
    <t>T</t>
  </si>
  <si>
    <t xml:space="preserve">  Lt/sg</t>
  </si>
  <si>
    <t xml:space="preserve"> mt/sg</t>
  </si>
  <si>
    <r>
      <t>kg/m</t>
    </r>
    <r>
      <rPr>
        <vertAlign val="superscript"/>
        <sz val="10"/>
        <rFont val="Arial"/>
        <family val="2"/>
      </rPr>
      <t>2</t>
    </r>
  </si>
  <si>
    <t>Relaciones Hidraulicas</t>
  </si>
  <si>
    <t>q/Q</t>
  </si>
  <si>
    <t>v/V</t>
  </si>
  <si>
    <t>Valores reales</t>
  </si>
  <si>
    <t>RELACIONES HIDRAULICAS EN FUNCION DE q/Q</t>
  </si>
  <si>
    <t>d/D</t>
  </si>
  <si>
    <t>t/T</t>
  </si>
  <si>
    <t>Rev.</t>
  </si>
  <si>
    <t>V</t>
  </si>
  <si>
    <t xml:space="preserve"> m/s</t>
  </si>
  <si>
    <t>TOTAL</t>
  </si>
  <si>
    <t>ANALISIS CUMPLIMIENTO PARAMETROS ALCANTARILLADO</t>
  </si>
  <si>
    <t>Pozo Aguas Arriba</t>
  </si>
  <si>
    <t>Pozo Aguas Abajo</t>
  </si>
  <si>
    <t>Q Diseño</t>
  </si>
  <si>
    <t>Q/Qo</t>
  </si>
  <si>
    <t>V/Vo</t>
  </si>
  <si>
    <t xml:space="preserve"> Vo</t>
  </si>
  <si>
    <t>Qo</t>
  </si>
  <si>
    <t>SIG MAYOR</t>
  </si>
  <si>
    <t>VEL MIN</t>
  </si>
  <si>
    <t>Q/Qo MIN</t>
  </si>
  <si>
    <t>Total 2</t>
  </si>
  <si>
    <t>Total 1</t>
  </si>
  <si>
    <t>DIAMETRO NOMINAL (mm)</t>
  </si>
  <si>
    <t>DIAMETRO NOMINAL (in)</t>
  </si>
  <si>
    <t>Tabla 1.</t>
  </si>
  <si>
    <t>POZO</t>
  </si>
  <si>
    <t>RASANTE</t>
  </si>
  <si>
    <t>Ahorro (%)</t>
  </si>
  <si>
    <t>Total costo Red ($)</t>
  </si>
  <si>
    <t>Ahorro  Red Alcantarillado Aguas Residuales vs. Caso Incial Construido</t>
  </si>
  <si>
    <t>COTAS CLAVES (m)</t>
  </si>
  <si>
    <t>DIAMETROS (in)</t>
  </si>
  <si>
    <t>EN ANALISIS PARA OPTIMIZACIÓN</t>
  </si>
  <si>
    <t xml:space="preserve"> ITERACIÓN 1</t>
  </si>
  <si>
    <t xml:space="preserve"> ITERACIÓN 2</t>
  </si>
  <si>
    <t xml:space="preserve"> ITERACIÓN 3</t>
  </si>
  <si>
    <t xml:space="preserve"> ITERACIÓN 4</t>
  </si>
  <si>
    <t xml:space="preserve"> CONS TRUIDA</t>
  </si>
  <si>
    <t xml:space="preserve">COMPARATIVO RED EXISTENTE VS. OPTIMIZACIÓN
RAMAL PRINCIPAL
</t>
  </si>
  <si>
    <t>EXCAVACIÓN $/m3</t>
  </si>
  <si>
    <t>POZO  $/m</t>
  </si>
  <si>
    <t>CUADRO 1.  PROGRAMACIÓN DINAMICA PARA EL CÁLCULO LA RED DE ALCANTARILLADO AGUAS RESIDUALES ITERACIÓN 1</t>
  </si>
  <si>
    <t>CUADRO 5.  PROGRAMACIÓN DINAMICA PARA EL CÁLCULO LA RED DE ALCANTARILLADO AGUAS RESIDUALES - ITERACIÓN 2</t>
  </si>
  <si>
    <t>CUADRO 6.  PROGRAMACIÓN DINAMICA PARA EL CÁLCULO LA RED DE ALCANTARILLADO AGUAS RESIDUALES - ITERACIÓN 3</t>
  </si>
  <si>
    <t>CUADRO 7.  PROGRAMACIÓN DINAMICA PARA EL CÁLCULO LA RED DE ALCANTARILLADO AGUAS RESIDUALES - ITERACIÓN 4</t>
  </si>
  <si>
    <t>Cuadro 2.</t>
  </si>
  <si>
    <t>PUNTO DE VERTIMIENTO</t>
  </si>
  <si>
    <t>POZO No.</t>
  </si>
  <si>
    <t>UNIDADES DE HUNTER</t>
  </si>
  <si>
    <t>1, 5,3</t>
  </si>
  <si>
    <t>SERVICIOS ELECTRICOS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</si>
</sst>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$&quot;* #,##0.00_-;\-&quot;$&quot;* #,##0.00_-;_-&quot;$&quot;* &quot;-&quot;??_-;_-@_-"/>
    <numFmt numFmtId="164" formatCode="_(&quot;$&quot;\ * #,##0.00_);_(&quot;$&quot;\ * \(#,##0.00\);_(&quot;$&quot;\ * &quot;-&quot;??_);_(@_)"/>
    <numFmt numFmtId="165" formatCode="0.0"/>
    <numFmt numFmtId="166" formatCode="0.0000"/>
    <numFmt numFmtId="167" formatCode="0.00000000"/>
    <numFmt numFmtId="168" formatCode="_-&quot;$&quot;* #,##0_-;\-&quot;$&quot;* #,##0_-;_-&quot;$&quot;* &quot;-&quot;??_-;_-@_-"/>
    <numFmt numFmtId="169" formatCode="0.00000"/>
    <numFmt numFmtId="170" formatCode="0.000"/>
    <numFmt numFmtId="171" formatCode="#,##0.000"/>
    <numFmt numFmtId="172" formatCode="_(&quot;$&quot;\ * #,##0_);_(&quot;$&quot;\ * \(#,##0\);_(&quot;$&quot;\ * &quot;-&quot;??_);_(@_)"/>
    <numFmt numFmtId="173" formatCode="_(&quot;$&quot;\ * #,##0.0_);_(&quot;$&quot;\ * \(#,##0.0\);_(&quot;$&quot;\ * &quot;-&quot;??_);_(@_)"/>
    <numFmt numFmtId="174" formatCode="_-&quot;$&quot;* #,##0.0_-;\-&quot;$&quot;* #,##0.0_-;_-&quot;$&quot;* &quot;-&quot;?_-;_-@_-"/>
    <numFmt numFmtId="175" formatCode="0.0%"/>
  </numFmts>
  <fonts count="20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name val="Calibri"/>
      <family val="2"/>
      <scheme val="minor"/>
    </font>
    <font>
      <b/>
      <i/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name val="Times New Roman"/>
      <family val="1"/>
    </font>
    <font>
      <b/>
      <sz val="11"/>
      <color rgb="FF000000"/>
      <name val="Arial"/>
      <family val="2"/>
    </font>
    <font>
      <b/>
      <sz val="11"/>
      <name val="Calibri"/>
      <family val="2"/>
      <scheme val="minor"/>
    </font>
    <font>
      <b/>
      <sz val="12"/>
      <color rgb="FF000000"/>
      <name val="Arial"/>
      <family val="2"/>
    </font>
    <font>
      <b/>
      <sz val="11"/>
      <color rgb="FF00B0F0"/>
      <name val="Times New Roman"/>
      <family val="1"/>
    </font>
    <font>
      <sz val="11"/>
      <color rgb="FF0070C0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</cellStyleXfs>
  <cellXfs count="280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Border="1"/>
    <xf numFmtId="164" fontId="0" fillId="0" borderId="1" xfId="1" applyFont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Fill="1" applyBorder="1"/>
    <xf numFmtId="0" fontId="4" fillId="0" borderId="5" xfId="0" applyFont="1" applyBorder="1" applyAlignment="1">
      <alignment horizontal="center" vertical="center"/>
    </xf>
    <xf numFmtId="165" fontId="0" fillId="0" borderId="10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7" fontId="0" fillId="0" borderId="10" xfId="0" applyNumberFormat="1" applyBorder="1"/>
    <xf numFmtId="167" fontId="0" fillId="0" borderId="0" xfId="0" applyNumberFormat="1" applyBorder="1"/>
    <xf numFmtId="167" fontId="0" fillId="0" borderId="13" xfId="0" applyNumberFormat="1" applyBorder="1"/>
    <xf numFmtId="164" fontId="0" fillId="0" borderId="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2" fontId="0" fillId="0" borderId="10" xfId="0" applyNumberFormat="1" applyBorder="1"/>
    <xf numFmtId="0" fontId="0" fillId="3" borderId="0" xfId="0" applyFill="1"/>
    <xf numFmtId="165" fontId="0" fillId="0" borderId="0" xfId="0" applyNumberFormat="1"/>
    <xf numFmtId="0" fontId="1" fillId="0" borderId="0" xfId="0" applyFont="1" applyAlignment="1">
      <alignment horizontal="center" vertical="center"/>
    </xf>
    <xf numFmtId="166" fontId="0" fillId="0" borderId="10" xfId="0" applyNumberFormat="1" applyBorder="1"/>
    <xf numFmtId="1" fontId="0" fillId="0" borderId="10" xfId="0" applyNumberFormat="1" applyBorder="1"/>
    <xf numFmtId="166" fontId="0" fillId="0" borderId="0" xfId="0" applyNumberFormat="1" applyBorder="1"/>
    <xf numFmtId="166" fontId="0" fillId="0" borderId="13" xfId="0" applyNumberFormat="1" applyBorder="1"/>
    <xf numFmtId="2" fontId="0" fillId="0" borderId="0" xfId="0" applyNumberFormat="1" applyBorder="1"/>
    <xf numFmtId="2" fontId="0" fillId="0" borderId="0" xfId="0" applyNumberFormat="1"/>
    <xf numFmtId="170" fontId="0" fillId="0" borderId="0" xfId="0" applyNumberFormat="1"/>
    <xf numFmtId="169" fontId="0" fillId="0" borderId="0" xfId="0" applyNumberFormat="1"/>
    <xf numFmtId="0" fontId="6" fillId="0" borderId="0" xfId="3"/>
    <xf numFmtId="0" fontId="6" fillId="0" borderId="1" xfId="3" applyBorder="1" applyAlignment="1">
      <alignment horizontal="center"/>
    </xf>
    <xf numFmtId="171" fontId="6" fillId="0" borderId="1" xfId="3" applyNumberFormat="1" applyBorder="1" applyAlignment="1">
      <alignment horizontal="center"/>
    </xf>
    <xf numFmtId="170" fontId="6" fillId="0" borderId="1" xfId="3" applyNumberFormat="1" applyFont="1" applyFill="1" applyBorder="1" applyAlignment="1" applyProtection="1">
      <alignment horizontal="center"/>
    </xf>
    <xf numFmtId="171" fontId="5" fillId="0" borderId="1" xfId="3" applyNumberFormat="1" applyFont="1" applyBorder="1" applyAlignment="1">
      <alignment horizontal="center"/>
    </xf>
    <xf numFmtId="171" fontId="9" fillId="0" borderId="1" xfId="3" applyNumberFormat="1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" fontId="0" fillId="0" borderId="0" xfId="0" applyNumberFormat="1" applyBorder="1"/>
    <xf numFmtId="172" fontId="0" fillId="0" borderId="10" xfId="0" applyNumberFormat="1" applyBorder="1"/>
    <xf numFmtId="172" fontId="0" fillId="0" borderId="0" xfId="0" applyNumberFormat="1" applyBorder="1"/>
    <xf numFmtId="172" fontId="0" fillId="0" borderId="13" xfId="0" applyNumberFormat="1" applyBorder="1"/>
    <xf numFmtId="0" fontId="0" fillId="0" borderId="0" xfId="0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0" xfId="0" applyFill="1" applyBorder="1"/>
    <xf numFmtId="166" fontId="0" fillId="0" borderId="0" xfId="0" applyNumberFormat="1" applyBorder="1" applyAlignment="1">
      <alignment horizontal="center"/>
    </xf>
    <xf numFmtId="0" fontId="0" fillId="0" borderId="23" xfId="0" applyBorder="1" applyAlignment="1">
      <alignment horizontal="center" vertical="center"/>
    </xf>
    <xf numFmtId="1" fontId="0" fillId="0" borderId="1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66" fontId="0" fillId="0" borderId="10" xfId="0" applyNumberFormat="1" applyBorder="1" applyAlignment="1">
      <alignment horizontal="center"/>
    </xf>
    <xf numFmtId="164" fontId="0" fillId="0" borderId="10" xfId="0" applyNumberFormat="1" applyFill="1" applyBorder="1" applyAlignment="1">
      <alignment horizontal="center" vertical="center"/>
    </xf>
    <xf numFmtId="0" fontId="0" fillId="0" borderId="1" xfId="0" applyBorder="1"/>
    <xf numFmtId="0" fontId="4" fillId="0" borderId="1" xfId="0" applyFont="1" applyFill="1" applyBorder="1" applyAlignment="1">
      <alignment horizontal="center" vertical="center"/>
    </xf>
    <xf numFmtId="2" fontId="0" fillId="0" borderId="10" xfId="0" applyNumberFormat="1" applyFill="1" applyBorder="1"/>
    <xf numFmtId="2" fontId="0" fillId="0" borderId="13" xfId="0" applyNumberFormat="1" applyBorder="1"/>
    <xf numFmtId="164" fontId="10" fillId="0" borderId="0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0" fontId="0" fillId="0" borderId="1" xfId="0" applyFill="1" applyBorder="1"/>
    <xf numFmtId="0" fontId="12" fillId="0" borderId="0" xfId="0" applyFont="1" applyBorder="1" applyAlignment="1">
      <alignment vertical="center" wrapText="1"/>
    </xf>
    <xf numFmtId="0" fontId="5" fillId="0" borderId="1" xfId="3" applyFont="1" applyBorder="1" applyAlignment="1">
      <alignment horizontal="center"/>
    </xf>
    <xf numFmtId="172" fontId="0" fillId="0" borderId="1" xfId="1" applyNumberFormat="1" applyFont="1" applyBorder="1" applyAlignment="1">
      <alignment horizontal="center" vertical="center"/>
    </xf>
    <xf numFmtId="0" fontId="0" fillId="0" borderId="0" xfId="0" applyFill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0" fillId="0" borderId="1" xfId="0" applyNumberFormat="1" applyBorder="1"/>
    <xf numFmtId="0" fontId="11" fillId="0" borderId="1" xfId="0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164" fontId="8" fillId="0" borderId="13" xfId="0" applyNumberFormat="1" applyFont="1" applyBorder="1" applyAlignment="1">
      <alignment horizontal="center" vertical="center"/>
    </xf>
    <xf numFmtId="172" fontId="8" fillId="0" borderId="0" xfId="0" applyNumberFormat="1" applyFont="1" applyBorder="1"/>
    <xf numFmtId="172" fontId="8" fillId="0" borderId="10" xfId="0" applyNumberFormat="1" applyFont="1" applyBorder="1"/>
    <xf numFmtId="172" fontId="8" fillId="0" borderId="13" xfId="0" applyNumberFormat="1" applyFont="1" applyBorder="1"/>
    <xf numFmtId="164" fontId="0" fillId="0" borderId="0" xfId="0" applyNumberFormat="1"/>
    <xf numFmtId="173" fontId="0" fillId="0" borderId="0" xfId="0" applyNumberFormat="1"/>
    <xf numFmtId="174" fontId="0" fillId="0" borderId="0" xfId="0" applyNumberFormat="1"/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2" fillId="2" borderId="24" xfId="0" applyFont="1" applyFill="1" applyBorder="1" applyAlignment="1">
      <alignment horizontal="center" wrapText="1"/>
    </xf>
    <xf numFmtId="0" fontId="2" fillId="2" borderId="25" xfId="0" applyFont="1" applyFill="1" applyBorder="1" applyAlignment="1">
      <alignment horizontal="center" wrapText="1"/>
    </xf>
    <xf numFmtId="0" fontId="13" fillId="2" borderId="26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168" fontId="3" fillId="2" borderId="15" xfId="2" applyNumberFormat="1" applyFont="1" applyFill="1" applyBorder="1"/>
    <xf numFmtId="166" fontId="8" fillId="2" borderId="27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8" fontId="3" fillId="2" borderId="1" xfId="2" applyNumberFormat="1" applyFont="1" applyFill="1" applyBorder="1"/>
    <xf numFmtId="166" fontId="8" fillId="2" borderId="28" xfId="0" applyNumberFormat="1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68" fontId="3" fillId="2" borderId="16" xfId="2" applyNumberFormat="1" applyFont="1" applyFill="1" applyBorder="1"/>
    <xf numFmtId="166" fontId="8" fillId="2" borderId="29" xfId="0" applyNumberFormat="1" applyFont="1" applyFill="1" applyBorder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ill="1" applyAlignment="1">
      <alignment horizontal="center" wrapText="1"/>
    </xf>
    <xf numFmtId="0" fontId="0" fillId="0" borderId="38" xfId="0" applyBorder="1"/>
    <xf numFmtId="2" fontId="0" fillId="0" borderId="13" xfId="0" applyNumberFormat="1" applyBorder="1" applyAlignment="1">
      <alignment horizontal="center"/>
    </xf>
    <xf numFmtId="1" fontId="0" fillId="0" borderId="13" xfId="0" applyNumberFormat="1" applyBorder="1"/>
    <xf numFmtId="0" fontId="15" fillId="0" borderId="5" xfId="0" applyFont="1" applyFill="1" applyBorder="1" applyAlignment="1">
      <alignment horizontal="center" vertical="center"/>
    </xf>
    <xf numFmtId="166" fontId="0" fillId="4" borderId="0" xfId="0" applyNumberFormat="1" applyFill="1" applyBorder="1" applyAlignment="1">
      <alignment horizontal="center"/>
    </xf>
    <xf numFmtId="0" fontId="14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2" fillId="2" borderId="7" xfId="0" applyFont="1" applyFill="1" applyBorder="1"/>
    <xf numFmtId="0" fontId="2" fillId="2" borderId="23" xfId="0" applyFont="1" applyFill="1" applyBorder="1"/>
    <xf numFmtId="0" fontId="0" fillId="2" borderId="5" xfId="0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 wrapText="1"/>
    </xf>
    <xf numFmtId="173" fontId="0" fillId="2" borderId="0" xfId="0" applyNumberFormat="1" applyFill="1"/>
    <xf numFmtId="0" fontId="0" fillId="2" borderId="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/>
    </xf>
    <xf numFmtId="0" fontId="0" fillId="2" borderId="16" xfId="0" applyFont="1" applyFill="1" applyBorder="1" applyAlignment="1">
      <alignment horizontal="center" wrapText="1"/>
    </xf>
    <xf numFmtId="0" fontId="0" fillId="2" borderId="16" xfId="0" applyFill="1" applyBorder="1"/>
    <xf numFmtId="165" fontId="0" fillId="0" borderId="13" xfId="0" applyNumberFormat="1" applyFill="1" applyBorder="1"/>
    <xf numFmtId="0" fontId="0" fillId="4" borderId="7" xfId="0" applyFill="1" applyBorder="1" applyAlignment="1">
      <alignment horizontal="center" vertical="center"/>
    </xf>
    <xf numFmtId="165" fontId="0" fillId="4" borderId="0" xfId="0" applyNumberFormat="1" applyFill="1" applyBorder="1"/>
    <xf numFmtId="0" fontId="0" fillId="4" borderId="10" xfId="0" applyFill="1" applyBorder="1"/>
    <xf numFmtId="167" fontId="0" fillId="4" borderId="10" xfId="0" applyNumberFormat="1" applyFill="1" applyBorder="1"/>
    <xf numFmtId="1" fontId="8" fillId="4" borderId="10" xfId="0" applyNumberFormat="1" applyFont="1" applyFill="1" applyBorder="1"/>
    <xf numFmtId="165" fontId="0" fillId="4" borderId="10" xfId="0" applyNumberFormat="1" applyFill="1" applyBorder="1"/>
    <xf numFmtId="166" fontId="0" fillId="4" borderId="10" xfId="0" applyNumberFormat="1" applyFill="1" applyBorder="1"/>
    <xf numFmtId="1" fontId="0" fillId="4" borderId="10" xfId="0" applyNumberFormat="1" applyFill="1" applyBorder="1" applyAlignment="1">
      <alignment horizontal="center"/>
    </xf>
    <xf numFmtId="166" fontId="0" fillId="4" borderId="10" xfId="0" applyNumberFormat="1" applyFill="1" applyBorder="1" applyAlignment="1">
      <alignment horizontal="center"/>
    </xf>
    <xf numFmtId="2" fontId="0" fillId="4" borderId="10" xfId="0" applyNumberFormat="1" applyFill="1" applyBorder="1"/>
    <xf numFmtId="2" fontId="0" fillId="4" borderId="10" xfId="0" applyNumberFormat="1" applyFill="1" applyBorder="1" applyAlignment="1">
      <alignment horizontal="center"/>
    </xf>
    <xf numFmtId="1" fontId="0" fillId="4" borderId="10" xfId="0" applyNumberFormat="1" applyFill="1" applyBorder="1"/>
    <xf numFmtId="164" fontId="0" fillId="4" borderId="10" xfId="0" applyNumberFormat="1" applyFill="1" applyBorder="1" applyAlignment="1">
      <alignment horizontal="center" vertical="center"/>
    </xf>
    <xf numFmtId="164" fontId="8" fillId="4" borderId="10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0" xfId="0" applyFill="1" applyBorder="1"/>
    <xf numFmtId="167" fontId="0" fillId="4" borderId="0" xfId="0" applyNumberFormat="1" applyFill="1" applyBorder="1"/>
    <xf numFmtId="166" fontId="0" fillId="4" borderId="0" xfId="0" applyNumberFormat="1" applyFill="1" applyBorder="1"/>
    <xf numFmtId="1" fontId="0" fillId="4" borderId="0" xfId="0" applyNumberFormat="1" applyFill="1" applyBorder="1" applyAlignment="1">
      <alignment horizontal="center"/>
    </xf>
    <xf numFmtId="2" fontId="0" fillId="4" borderId="0" xfId="0" applyNumberFormat="1" applyFill="1" applyBorder="1"/>
    <xf numFmtId="2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/>
    <xf numFmtId="164" fontId="0" fillId="4" borderId="0" xfId="0" applyNumberFormat="1" applyFill="1" applyBorder="1" applyAlignment="1">
      <alignment horizontal="center" vertical="center"/>
    </xf>
    <xf numFmtId="164" fontId="8" fillId="4" borderId="0" xfId="0" applyNumberFormat="1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165" fontId="0" fillId="4" borderId="13" xfId="0" applyNumberFormat="1" applyFill="1" applyBorder="1"/>
    <xf numFmtId="0" fontId="0" fillId="4" borderId="13" xfId="0" applyFill="1" applyBorder="1"/>
    <xf numFmtId="167" fontId="0" fillId="4" borderId="13" xfId="0" applyNumberFormat="1" applyFill="1" applyBorder="1"/>
    <xf numFmtId="166" fontId="0" fillId="4" borderId="13" xfId="0" applyNumberFormat="1" applyFill="1" applyBorder="1"/>
    <xf numFmtId="1" fontId="0" fillId="4" borderId="13" xfId="0" applyNumberFormat="1" applyFill="1" applyBorder="1" applyAlignment="1">
      <alignment horizontal="center"/>
    </xf>
    <xf numFmtId="164" fontId="0" fillId="4" borderId="13" xfId="0" applyNumberForma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6" fontId="0" fillId="4" borderId="13" xfId="0" applyNumberForma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center" vertical="center"/>
    </xf>
    <xf numFmtId="172" fontId="0" fillId="4" borderId="10" xfId="0" applyNumberFormat="1" applyFill="1" applyBorder="1"/>
    <xf numFmtId="0" fontId="0" fillId="4" borderId="11" xfId="0" applyFill="1" applyBorder="1"/>
    <xf numFmtId="172" fontId="0" fillId="4" borderId="0" xfId="0" applyNumberFormat="1" applyFill="1" applyBorder="1"/>
    <xf numFmtId="0" fontId="0" fillId="4" borderId="12" xfId="0" applyFill="1" applyBorder="1"/>
    <xf numFmtId="0" fontId="0" fillId="4" borderId="14" xfId="0" applyFill="1" applyBorder="1"/>
    <xf numFmtId="172" fontId="0" fillId="4" borderId="13" xfId="0" applyNumberFormat="1" applyFill="1" applyBorder="1"/>
    <xf numFmtId="2" fontId="0" fillId="4" borderId="13" xfId="0" applyNumberFormat="1" applyFill="1" applyBorder="1" applyAlignment="1">
      <alignment horizontal="right"/>
    </xf>
    <xf numFmtId="2" fontId="0" fillId="4" borderId="13" xfId="0" applyNumberFormat="1" applyFill="1" applyBorder="1"/>
    <xf numFmtId="2" fontId="0" fillId="4" borderId="13" xfId="0" applyNumberFormat="1" applyFill="1" applyBorder="1" applyAlignment="1">
      <alignment horizontal="center"/>
    </xf>
    <xf numFmtId="1" fontId="0" fillId="4" borderId="13" xfId="0" applyNumberFormat="1" applyFill="1" applyBorder="1"/>
    <xf numFmtId="0" fontId="0" fillId="4" borderId="38" xfId="0" applyFill="1" applyBorder="1"/>
    <xf numFmtId="164" fontId="10" fillId="4" borderId="10" xfId="0" applyNumberFormat="1" applyFont="1" applyFill="1" applyBorder="1" applyAlignment="1">
      <alignment horizontal="center" vertical="center"/>
    </xf>
    <xf numFmtId="0" fontId="8" fillId="4" borderId="10" xfId="0" applyFont="1" applyFill="1" applyBorder="1"/>
    <xf numFmtId="0" fontId="8" fillId="4" borderId="0" xfId="0" applyFont="1" applyFill="1" applyBorder="1"/>
    <xf numFmtId="2" fontId="16" fillId="4" borderId="10" xfId="0" applyNumberFormat="1" applyFont="1" applyFill="1" applyBorder="1"/>
    <xf numFmtId="2" fontId="16" fillId="4" borderId="0" xfId="0" applyNumberFormat="1" applyFont="1" applyFill="1" applyBorder="1"/>
    <xf numFmtId="2" fontId="16" fillId="4" borderId="13" xfId="0" applyNumberFormat="1" applyFont="1" applyFill="1" applyBorder="1"/>
    <xf numFmtId="172" fontId="16" fillId="4" borderId="10" xfId="0" applyNumberFormat="1" applyFont="1" applyFill="1" applyBorder="1"/>
    <xf numFmtId="172" fontId="16" fillId="4" borderId="0" xfId="0" applyNumberFormat="1" applyFont="1" applyFill="1" applyBorder="1"/>
    <xf numFmtId="172" fontId="16" fillId="4" borderId="13" xfId="0" applyNumberFormat="1" applyFont="1" applyFill="1" applyBorder="1"/>
    <xf numFmtId="0" fontId="2" fillId="0" borderId="4" xfId="0" applyFont="1" applyBorder="1" applyAlignment="1">
      <alignment horizontal="center" vertical="center"/>
    </xf>
    <xf numFmtId="164" fontId="0" fillId="0" borderId="4" xfId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5" fontId="0" fillId="0" borderId="1" xfId="0" applyNumberFormat="1" applyBorder="1"/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6" fillId="4" borderId="10" xfId="0" applyFont="1" applyFill="1" applyBorder="1"/>
    <xf numFmtId="0" fontId="16" fillId="4" borderId="0" xfId="0" applyFont="1" applyFill="1" applyBorder="1"/>
    <xf numFmtId="0" fontId="16" fillId="4" borderId="13" xfId="0" applyFont="1" applyFill="1" applyBorder="1"/>
    <xf numFmtId="0" fontId="18" fillId="2" borderId="24" xfId="0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18" fillId="2" borderId="26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0" fontId="0" fillId="0" borderId="41" xfId="0" applyFill="1" applyBorder="1"/>
    <xf numFmtId="0" fontId="0" fillId="0" borderId="42" xfId="0" applyBorder="1"/>
    <xf numFmtId="0" fontId="0" fillId="0" borderId="43" xfId="0" applyBorder="1"/>
    <xf numFmtId="164" fontId="8" fillId="4" borderId="11" xfId="0" applyNumberFormat="1" applyFont="1" applyFill="1" applyBorder="1" applyAlignment="1">
      <alignment horizontal="center" vertical="center"/>
    </xf>
    <xf numFmtId="164" fontId="8" fillId="4" borderId="12" xfId="0" applyNumberFormat="1" applyFont="1" applyFill="1" applyBorder="1" applyAlignment="1">
      <alignment horizontal="center" vertical="center"/>
    </xf>
    <xf numFmtId="164" fontId="8" fillId="4" borderId="14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64" fontId="8" fillId="4" borderId="15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164" fontId="10" fillId="0" borderId="15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164" fontId="10" fillId="4" borderId="15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64" fontId="10" fillId="4" borderId="4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164" fontId="8" fillId="4" borderId="44" xfId="0" applyNumberFormat="1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2" fillId="2" borderId="15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27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0" fillId="2" borderId="7" xfId="0" applyFont="1" applyFill="1" applyBorder="1" applyAlignment="1">
      <alignment horizontal="left" vertical="center" textRotation="90" wrapText="1"/>
    </xf>
    <xf numFmtId="0" fontId="0" fillId="2" borderId="9" xfId="0" applyFont="1" applyFill="1" applyBorder="1" applyAlignment="1">
      <alignment horizontal="left" vertical="center" textRotation="90" wrapText="1"/>
    </xf>
    <xf numFmtId="0" fontId="0" fillId="2" borderId="15" xfId="0" applyFont="1" applyFill="1" applyBorder="1" applyAlignment="1">
      <alignment horizontal="center"/>
    </xf>
    <xf numFmtId="0" fontId="0" fillId="2" borderId="16" xfId="0" applyFont="1" applyFill="1" applyBorder="1" applyAlignment="1">
      <alignment horizontal="center"/>
    </xf>
    <xf numFmtId="172" fontId="0" fillId="2" borderId="34" xfId="1" applyNumberFormat="1" applyFont="1" applyFill="1" applyBorder="1" applyAlignment="1">
      <alignment horizontal="center" vertical="center"/>
    </xf>
    <xf numFmtId="172" fontId="0" fillId="2" borderId="35" xfId="1" applyNumberFormat="1" applyFont="1" applyFill="1" applyBorder="1" applyAlignment="1">
      <alignment horizontal="center" vertical="center"/>
    </xf>
    <xf numFmtId="172" fontId="0" fillId="2" borderId="4" xfId="1" applyNumberFormat="1" applyFont="1" applyFill="1" applyBorder="1" applyAlignment="1">
      <alignment horizontal="center" vertical="center"/>
    </xf>
    <xf numFmtId="172" fontId="0" fillId="2" borderId="5" xfId="1" applyNumberFormat="1" applyFont="1" applyFill="1" applyBorder="1" applyAlignment="1">
      <alignment horizontal="center" vertical="center"/>
    </xf>
    <xf numFmtId="175" fontId="0" fillId="2" borderId="30" xfId="4" applyNumberFormat="1" applyFont="1" applyFill="1" applyBorder="1" applyAlignment="1">
      <alignment horizontal="center" vertical="center"/>
    </xf>
    <xf numFmtId="175" fontId="0" fillId="2" borderId="36" xfId="4" applyNumberFormat="1" applyFont="1" applyFill="1" applyBorder="1" applyAlignment="1">
      <alignment horizontal="center" vertical="center"/>
    </xf>
    <xf numFmtId="175" fontId="0" fillId="2" borderId="31" xfId="4" applyNumberFormat="1" applyFont="1" applyFill="1" applyBorder="1" applyAlignment="1">
      <alignment horizontal="center" vertical="center"/>
    </xf>
    <xf numFmtId="175" fontId="0" fillId="2" borderId="33" xfId="4" applyNumberFormat="1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 textRotation="90" wrapText="1"/>
    </xf>
    <xf numFmtId="0" fontId="0" fillId="2" borderId="8" xfId="0" applyFont="1" applyFill="1" applyBorder="1" applyAlignment="1">
      <alignment horizontal="center" vertical="center" textRotation="90" wrapText="1"/>
    </xf>
    <xf numFmtId="0" fontId="0" fillId="2" borderId="9" xfId="0" applyFont="1" applyFill="1" applyBorder="1" applyAlignment="1">
      <alignment horizontal="center" vertical="center" textRotation="90" wrapText="1"/>
    </xf>
    <xf numFmtId="0" fontId="0" fillId="2" borderId="15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</cellXfs>
  <cellStyles count="5">
    <cellStyle name="Moneda" xfId="1" builtinId="4"/>
    <cellStyle name="Moneda 2" xfId="2"/>
    <cellStyle name="Normal" xfId="0" builtinId="0"/>
    <cellStyle name="Normal 2" xfId="3"/>
    <cellStyle name="Porcentaje" xfId="4" builtinId="5"/>
  </cellStyles>
  <dxfs count="0"/>
  <tableStyles count="0" defaultTableStyle="TableStyleMedium9" defaultPivotStyle="PivotStyleLight16"/>
  <colors>
    <mruColors>
      <color rgb="FFFCFBE8"/>
      <color rgb="FFFF505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Eficiencias!$E$6</c:f>
              <c:strCache>
                <c:ptCount val="1"/>
                <c:pt idx="0">
                  <c:v>RASANTE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Eficiencias!$F$6:$K$6</c:f>
              <c:numCache>
                <c:formatCode>General</c:formatCode>
                <c:ptCount val="6"/>
                <c:pt idx="0">
                  <c:v>49.3</c:v>
                </c:pt>
                <c:pt idx="1">
                  <c:v>49.2</c:v>
                </c:pt>
                <c:pt idx="2">
                  <c:v>49.09</c:v>
                </c:pt>
                <c:pt idx="3">
                  <c:v>49.09</c:v>
                </c:pt>
                <c:pt idx="4">
                  <c:v>49.09</c:v>
                </c:pt>
                <c:pt idx="5">
                  <c:v>48.9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Eficiencias!$C$7</c:f>
              <c:strCache>
                <c:ptCount val="1"/>
                <c:pt idx="0">
                  <c:v> CONS TRUIDA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Eficiencias!$F$7:$K$7</c:f>
              <c:numCache>
                <c:formatCode>General</c:formatCode>
                <c:ptCount val="6"/>
                <c:pt idx="0">
                  <c:v>47.4</c:v>
                </c:pt>
                <c:pt idx="1">
                  <c:v>47</c:v>
                </c:pt>
                <c:pt idx="2">
                  <c:v>46.57</c:v>
                </c:pt>
                <c:pt idx="3">
                  <c:v>46.17</c:v>
                </c:pt>
                <c:pt idx="4">
                  <c:v>45.77</c:v>
                </c:pt>
                <c:pt idx="5">
                  <c:v>45.39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Eficiencias!$E$10</c:f>
              <c:strCache>
                <c:ptCount val="1"/>
                <c:pt idx="0">
                  <c:v> ITERACIÓN 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Eficiencias!$F$9:$K$9</c:f>
              <c:numCache>
                <c:formatCode>General</c:formatCode>
                <c:ptCount val="6"/>
              </c:numCache>
            </c:numRef>
          </c:val>
          <c:smooth val="0"/>
        </c:ser>
        <c:ser>
          <c:idx val="4"/>
          <c:order val="3"/>
          <c:tx>
            <c:strRef>
              <c:f>Eficiencias!$E$10</c:f>
              <c:strCache>
                <c:ptCount val="1"/>
                <c:pt idx="0">
                  <c:v> ITERACIÓN 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Eficiencias!$F$10:$K$10</c:f>
              <c:numCache>
                <c:formatCode>General</c:formatCode>
                <c:ptCount val="6"/>
                <c:pt idx="0">
                  <c:v>48.1</c:v>
                </c:pt>
                <c:pt idx="1">
                  <c:v>47.5</c:v>
                </c:pt>
                <c:pt idx="2">
                  <c:v>46.89</c:v>
                </c:pt>
                <c:pt idx="3">
                  <c:v>46.4</c:v>
                </c:pt>
                <c:pt idx="4">
                  <c:v>45.89</c:v>
                </c:pt>
                <c:pt idx="5">
                  <c:v>44.89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Eficiencias!$E$12</c:f>
              <c:strCache>
                <c:ptCount val="1"/>
                <c:pt idx="0">
                  <c:v> ITERACIÓN 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Eficiencias!$F$12:$K$12</c:f>
              <c:numCache>
                <c:formatCode>General</c:formatCode>
                <c:ptCount val="6"/>
                <c:pt idx="0">
                  <c:v>48.1</c:v>
                </c:pt>
                <c:pt idx="1">
                  <c:v>47.75</c:v>
                </c:pt>
                <c:pt idx="2">
                  <c:v>47.02</c:v>
                </c:pt>
                <c:pt idx="3">
                  <c:v>46.64</c:v>
                </c:pt>
                <c:pt idx="4">
                  <c:v>45.8</c:v>
                </c:pt>
                <c:pt idx="5">
                  <c:v>44.64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Eficiencias!$E$14</c:f>
              <c:strCache>
                <c:ptCount val="1"/>
                <c:pt idx="0">
                  <c:v> ITERACIÓN 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Eficiencias!$F$14:$K$14</c:f>
              <c:numCache>
                <c:formatCode>General</c:formatCode>
                <c:ptCount val="6"/>
                <c:pt idx="0">
                  <c:v>48.1</c:v>
                </c:pt>
                <c:pt idx="1">
                  <c:v>47.75</c:v>
                </c:pt>
                <c:pt idx="2">
                  <c:v>47.14</c:v>
                </c:pt>
                <c:pt idx="3">
                  <c:v>46.64</c:v>
                </c:pt>
                <c:pt idx="4">
                  <c:v>45.77</c:v>
                </c:pt>
                <c:pt idx="5">
                  <c:v>44.77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Eficiencias!$E$16</c:f>
              <c:strCache>
                <c:ptCount val="1"/>
                <c:pt idx="0">
                  <c:v> ITERACIÓN 4</c:v>
                </c:pt>
              </c:strCache>
            </c:strRef>
          </c:tx>
          <c:spPr>
            <a:ln w="28575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cat>
            <c:numRef>
              <c:f>Eficiencias!$F$5:$K$5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</c:numCache>
            </c:numRef>
          </c:cat>
          <c:val>
            <c:numRef>
              <c:f>Eficiencias!$F$16:$K$16</c:f>
              <c:numCache>
                <c:formatCode>General</c:formatCode>
                <c:ptCount val="6"/>
                <c:pt idx="0">
                  <c:v>48.1</c:v>
                </c:pt>
                <c:pt idx="1">
                  <c:v>47.75</c:v>
                </c:pt>
                <c:pt idx="2">
                  <c:v>47.27</c:v>
                </c:pt>
                <c:pt idx="3">
                  <c:v>46.64</c:v>
                </c:pt>
                <c:pt idx="4">
                  <c:v>45.77</c:v>
                </c:pt>
                <c:pt idx="5">
                  <c:v>44.77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433768"/>
        <c:axId val="153431024"/>
      </c:lineChart>
      <c:catAx>
        <c:axId val="153433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POZOS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431024"/>
        <c:crosses val="autoZero"/>
        <c:auto val="1"/>
        <c:lblAlgn val="ctr"/>
        <c:lblOffset val="100"/>
        <c:noMultiLvlLbl val="0"/>
      </c:catAx>
      <c:valAx>
        <c:axId val="153431024"/>
        <c:scaling>
          <c:orientation val="minMax"/>
          <c:max val="49.5"/>
          <c:min val="4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Cotas</a:t>
                </a:r>
              </a:p>
            </c:rich>
          </c:tx>
          <c:layout>
            <c:manualLayout>
              <c:xMode val="edge"/>
              <c:yMode val="edge"/>
              <c:x val="2.480619751267411E-2"/>
              <c:y val="0.39337292913002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433768"/>
        <c:crosses val="autoZero"/>
        <c:crossBetween val="between"/>
      </c:valAx>
      <c:spPr>
        <a:solidFill>
          <a:schemeClr val="bg1"/>
        </a:solidFill>
        <a:ln w="15875">
          <a:solidFill>
            <a:schemeClr val="tx1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2.3126570530172252E-2"/>
          <c:y val="0.93238344487765801"/>
          <c:w val="0.95581387929538697"/>
          <c:h val="5.0623997059975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CC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288550</xdr:colOff>
      <xdr:row>3</xdr:row>
      <xdr:rowOff>80682</xdr:rowOff>
    </xdr:from>
    <xdr:to>
      <xdr:col>5</xdr:col>
      <xdr:colOff>231400</xdr:colOff>
      <xdr:row>21</xdr:row>
      <xdr:rowOff>109257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90" t="26053" r="53108" b="16795"/>
        <a:stretch>
          <a:fillRect/>
        </a:stretch>
      </xdr:blipFill>
      <xdr:spPr bwMode="auto">
        <a:xfrm>
          <a:off x="288550" y="674594"/>
          <a:ext cx="4279526" cy="416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19</xdr:row>
      <xdr:rowOff>0</xdr:rowOff>
    </xdr:from>
    <xdr:to>
      <xdr:col>5</xdr:col>
      <xdr:colOff>190500</xdr:colOff>
      <xdr:row>29</xdr:row>
      <xdr:rowOff>263338</xdr:rowOff>
    </xdr:to>
    <xdr:pic>
      <xdr:nvPicPr>
        <xdr:cNvPr id="4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0" t="38608" r="50989" b="35347"/>
        <a:stretch>
          <a:fillRect/>
        </a:stretch>
      </xdr:blipFill>
      <xdr:spPr bwMode="auto">
        <a:xfrm>
          <a:off x="314325" y="5314950"/>
          <a:ext cx="42100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84606</xdr:colOff>
      <xdr:row>2</xdr:row>
      <xdr:rowOff>117941</xdr:rowOff>
    </xdr:from>
    <xdr:to>
      <xdr:col>22</xdr:col>
      <xdr:colOff>132232</xdr:colOff>
      <xdr:row>21</xdr:row>
      <xdr:rowOff>175933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E/Documents/MAE/ESPECILIZACION-2012/TESIS/ALCANTARILLADO%20INHISA%20%2028-ABR-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KA AR"/>
      <sheetName val="LOGIKA ALL"/>
      <sheetName val="UN HUNTER"/>
      <sheetName val="$ alcantarillado"/>
    </sheetNames>
    <sheetDataSet>
      <sheetData sheetId="0">
        <row r="20">
          <cell r="O20">
            <v>56599914.677333318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AR203"/>
  <sheetViews>
    <sheetView tabSelected="1" view="pageBreakPreview" zoomScale="55" zoomScaleNormal="70" zoomScaleSheetLayoutView="55" workbookViewId="0">
      <selection activeCell="L46" sqref="L46"/>
    </sheetView>
  </sheetViews>
  <sheetFormatPr baseColWidth="10" defaultRowHeight="15" x14ac:dyDescent="0.25"/>
  <cols>
    <col min="1" max="1" width="9.85546875" customWidth="1"/>
    <col min="2" max="2" width="11.5703125" customWidth="1"/>
    <col min="3" max="3" width="18" customWidth="1"/>
    <col min="4" max="4" width="10" customWidth="1"/>
    <col min="5" max="5" width="18.140625" customWidth="1"/>
    <col min="6" max="6" width="10" customWidth="1"/>
    <col min="7" max="7" width="18.28515625" customWidth="1"/>
    <col min="8" max="8" width="10" customWidth="1"/>
    <col min="9" max="9" width="16.28515625" customWidth="1"/>
    <col min="10" max="12" width="14.85546875" customWidth="1"/>
    <col min="13" max="13" width="14.42578125" customWidth="1"/>
    <col min="14" max="14" width="10.5703125" customWidth="1"/>
    <col min="15" max="15" width="10" customWidth="1"/>
    <col min="16" max="16" width="14.140625" customWidth="1"/>
    <col min="17" max="17" width="14.85546875" customWidth="1"/>
    <col min="18" max="18" width="11" customWidth="1"/>
    <col min="19" max="19" width="8.5703125" customWidth="1"/>
    <col min="20" max="20" width="16.5703125" customWidth="1"/>
    <col min="21" max="21" width="14.5703125" customWidth="1"/>
    <col min="22" max="23" width="8.5703125" customWidth="1"/>
    <col min="24" max="24" width="13.5703125" customWidth="1"/>
    <col min="25" max="27" width="10.140625" customWidth="1"/>
    <col min="28" max="29" width="11" bestFit="1" customWidth="1"/>
    <col min="30" max="30" width="15.140625" bestFit="1" customWidth="1"/>
    <col min="31" max="31" width="5.85546875" bestFit="1" customWidth="1"/>
    <col min="32" max="32" width="4" customWidth="1"/>
    <col min="33" max="33" width="4.140625" customWidth="1"/>
    <col min="34" max="34" width="9.5703125" bestFit="1" customWidth="1"/>
    <col min="35" max="35" width="14.42578125" customWidth="1"/>
    <col min="36" max="36" width="20.140625" customWidth="1"/>
    <col min="37" max="37" width="18.85546875" customWidth="1"/>
    <col min="38" max="38" width="19.28515625" customWidth="1"/>
    <col min="39" max="39" width="20" customWidth="1"/>
    <col min="40" max="40" width="20.28515625" customWidth="1"/>
    <col min="41" max="41" width="22.140625" customWidth="1"/>
    <col min="42" max="42" width="19" customWidth="1"/>
    <col min="43" max="44" width="10" customWidth="1"/>
    <col min="45" max="45" width="1.7109375" customWidth="1"/>
    <col min="46" max="46" width="6.7109375" bestFit="1" customWidth="1"/>
  </cols>
  <sheetData>
    <row r="2" spans="1:44" x14ac:dyDescent="0.25">
      <c r="A2" s="62" t="s">
        <v>1</v>
      </c>
      <c r="B2" s="62">
        <v>0.01</v>
      </c>
      <c r="C2" s="62"/>
    </row>
    <row r="3" spans="1:44" x14ac:dyDescent="0.25">
      <c r="A3" s="62" t="s">
        <v>2</v>
      </c>
      <c r="B3" s="185">
        <f>0.5+N23</f>
        <v>0.59583719055951567</v>
      </c>
      <c r="C3" s="62" t="s">
        <v>37</v>
      </c>
    </row>
    <row r="4" spans="1:44" x14ac:dyDescent="0.25">
      <c r="A4" s="68" t="s">
        <v>3</v>
      </c>
      <c r="B4" s="68">
        <v>0.5</v>
      </c>
      <c r="C4" s="68" t="s">
        <v>37</v>
      </c>
      <c r="F4" s="62" t="s">
        <v>41</v>
      </c>
      <c r="G4" s="62"/>
      <c r="H4" s="62">
        <v>158</v>
      </c>
    </row>
    <row r="5" spans="1:44" x14ac:dyDescent="0.25">
      <c r="A5" s="62" t="s">
        <v>26</v>
      </c>
      <c r="B5" s="62">
        <v>1.2</v>
      </c>
      <c r="C5" s="62" t="s">
        <v>37</v>
      </c>
      <c r="F5" s="62" t="s">
        <v>42</v>
      </c>
      <c r="G5" s="62"/>
      <c r="H5" s="62">
        <f>10+4+2+1</f>
        <v>17</v>
      </c>
      <c r="AO5">
        <f>0.5/5</f>
        <v>0.1</v>
      </c>
    </row>
    <row r="6" spans="1:44" x14ac:dyDescent="0.25">
      <c r="A6" s="62" t="s">
        <v>27</v>
      </c>
      <c r="B6" s="62">
        <v>1</v>
      </c>
      <c r="C6" s="62"/>
      <c r="F6" s="62" t="s">
        <v>43</v>
      </c>
      <c r="G6" s="62"/>
      <c r="H6" s="62">
        <f>10+3*4+4*1</f>
        <v>26</v>
      </c>
      <c r="AL6" s="37">
        <v>0.5</v>
      </c>
    </row>
    <row r="7" spans="1:44" x14ac:dyDescent="0.25">
      <c r="A7" s="62" t="s">
        <v>50</v>
      </c>
      <c r="B7" s="62">
        <v>0.25</v>
      </c>
      <c r="C7" s="62" t="s">
        <v>37</v>
      </c>
      <c r="F7" s="62" t="s">
        <v>44</v>
      </c>
      <c r="G7" s="62"/>
      <c r="H7" s="62">
        <f>1+30+3+(145)</f>
        <v>179</v>
      </c>
      <c r="AK7">
        <v>80</v>
      </c>
      <c r="AL7">
        <f>+AL6/100</f>
        <v>5.0000000000000001E-3</v>
      </c>
      <c r="AM7">
        <f>+AK7*AL7</f>
        <v>0.4</v>
      </c>
      <c r="AN7">
        <f>+AK7-AM7</f>
        <v>79.599999999999994</v>
      </c>
    </row>
    <row r="8" spans="1:44" x14ac:dyDescent="0.25">
      <c r="B8" s="236"/>
      <c r="C8" s="236"/>
      <c r="F8" s="62" t="s">
        <v>45</v>
      </c>
      <c r="G8" s="62"/>
      <c r="H8" s="62">
        <f>1+10</f>
        <v>11</v>
      </c>
    </row>
    <row r="9" spans="1:44" x14ac:dyDescent="0.25">
      <c r="A9" s="184" t="s">
        <v>99</v>
      </c>
      <c r="B9" s="62"/>
      <c r="C9" s="3">
        <v>18000</v>
      </c>
      <c r="F9" s="62"/>
      <c r="G9" s="62"/>
      <c r="H9" s="62"/>
    </row>
    <row r="10" spans="1:44" x14ac:dyDescent="0.25">
      <c r="A10" s="184" t="s">
        <v>100</v>
      </c>
      <c r="B10" s="62"/>
      <c r="C10" s="71">
        <v>697981</v>
      </c>
      <c r="F10" s="62" t="s">
        <v>46</v>
      </c>
      <c r="G10" s="62"/>
      <c r="H10" s="62">
        <f>5+70+7+20</f>
        <v>102</v>
      </c>
      <c r="P10" s="36"/>
      <c r="Q10" s="37"/>
      <c r="R10" s="3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72"/>
      <c r="AK10" s="72"/>
      <c r="AL10" s="72"/>
    </row>
    <row r="11" spans="1:44" x14ac:dyDescent="0.25">
      <c r="F11" s="62" t="s">
        <v>47</v>
      </c>
      <c r="G11" s="62"/>
      <c r="H11" s="62">
        <v>3</v>
      </c>
      <c r="AJ11" s="72"/>
      <c r="AK11" s="72"/>
      <c r="AL11" s="72"/>
    </row>
    <row r="12" spans="1:44" x14ac:dyDescent="0.25">
      <c r="A12" s="62" t="s">
        <v>78</v>
      </c>
      <c r="B12" s="75">
        <v>0.4</v>
      </c>
      <c r="F12" s="62" t="s">
        <v>48</v>
      </c>
      <c r="G12" s="62"/>
      <c r="H12" s="62">
        <f>150+16+3+80</f>
        <v>249</v>
      </c>
      <c r="AJ12" s="72"/>
      <c r="AK12" s="72"/>
      <c r="AL12" s="72"/>
    </row>
    <row r="13" spans="1:44" x14ac:dyDescent="0.25">
      <c r="A13" s="62" t="s">
        <v>79</v>
      </c>
      <c r="B13" s="62">
        <v>0.85</v>
      </c>
      <c r="F13" s="62" t="s">
        <v>49</v>
      </c>
      <c r="G13" s="62"/>
      <c r="H13" s="62">
        <f>40+4+1+20</f>
        <v>65</v>
      </c>
      <c r="AJ13" s="72"/>
      <c r="AK13" s="72"/>
      <c r="AL13" s="72"/>
    </row>
    <row r="14" spans="1:44" x14ac:dyDescent="0.25">
      <c r="A14" s="68" t="s">
        <v>54</v>
      </c>
      <c r="B14" s="62">
        <v>0.15</v>
      </c>
      <c r="AJ14" s="72"/>
      <c r="AK14" s="72"/>
      <c r="AL14" s="72"/>
    </row>
    <row r="15" spans="1:44" x14ac:dyDescent="0.25">
      <c r="A15" s="12"/>
      <c r="B15" s="2"/>
      <c r="AJ15" s="72"/>
      <c r="AK15" s="72"/>
      <c r="AL15" s="72"/>
    </row>
    <row r="16" spans="1:44" ht="20.25" x14ac:dyDescent="0.3">
      <c r="A16" s="238" t="s">
        <v>101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</row>
    <row r="17" spans="1:44" ht="15.75" thickBot="1" x14ac:dyDescent="0.3"/>
    <row r="18" spans="1:44" ht="15.75" thickBot="1" x14ac:dyDescent="0.3">
      <c r="A18" s="87">
        <v>1</v>
      </c>
      <c r="B18" s="86">
        <v>2</v>
      </c>
      <c r="C18" s="86">
        <v>3</v>
      </c>
      <c r="D18" s="86">
        <v>4</v>
      </c>
      <c r="E18" s="86">
        <v>5</v>
      </c>
      <c r="F18" s="86">
        <v>6</v>
      </c>
      <c r="G18" s="86">
        <v>7</v>
      </c>
      <c r="H18" s="86">
        <v>8</v>
      </c>
      <c r="I18" s="86">
        <v>9</v>
      </c>
      <c r="J18" s="86">
        <v>10</v>
      </c>
      <c r="K18" s="86">
        <v>11</v>
      </c>
      <c r="L18" s="86">
        <v>12</v>
      </c>
      <c r="M18" s="86">
        <v>13</v>
      </c>
      <c r="N18" s="86">
        <v>14</v>
      </c>
      <c r="O18" s="86">
        <v>15</v>
      </c>
      <c r="P18" s="86">
        <v>16</v>
      </c>
      <c r="Q18" s="86">
        <v>17</v>
      </c>
      <c r="R18" s="86">
        <v>18</v>
      </c>
      <c r="S18" s="86">
        <v>19</v>
      </c>
      <c r="T18" s="86">
        <v>16</v>
      </c>
      <c r="U18" s="86">
        <v>17</v>
      </c>
      <c r="V18" s="86">
        <v>18</v>
      </c>
      <c r="W18" s="86">
        <v>19</v>
      </c>
      <c r="X18" s="86">
        <v>20</v>
      </c>
      <c r="Y18" s="86">
        <v>21</v>
      </c>
      <c r="Z18" s="86">
        <v>22</v>
      </c>
      <c r="AA18" s="86">
        <v>23</v>
      </c>
      <c r="AB18" s="86">
        <v>24</v>
      </c>
      <c r="AC18" s="86">
        <v>25</v>
      </c>
      <c r="AD18" s="86">
        <v>26</v>
      </c>
      <c r="AE18" s="86">
        <v>27</v>
      </c>
      <c r="AF18" s="86">
        <v>28</v>
      </c>
      <c r="AG18" s="86">
        <v>29</v>
      </c>
      <c r="AH18" s="86">
        <v>30</v>
      </c>
      <c r="AI18" s="86">
        <v>31</v>
      </c>
      <c r="AJ18" s="86">
        <v>32</v>
      </c>
      <c r="AK18" s="86">
        <v>33</v>
      </c>
      <c r="AL18" s="86">
        <v>34</v>
      </c>
      <c r="AM18" s="86">
        <v>35</v>
      </c>
      <c r="AN18" s="86">
        <v>36</v>
      </c>
      <c r="AO18" s="86">
        <v>37</v>
      </c>
      <c r="AP18" s="86">
        <v>38</v>
      </c>
      <c r="AQ18" s="86">
        <v>39</v>
      </c>
      <c r="AR18" s="88">
        <v>40</v>
      </c>
    </row>
    <row r="19" spans="1:44" ht="9.75" customHeight="1" x14ac:dyDescent="0.25"/>
    <row r="20" spans="1:44" ht="17.25" customHeight="1" x14ac:dyDescent="0.25">
      <c r="A20" s="233" t="s">
        <v>4</v>
      </c>
      <c r="B20" s="234" t="s">
        <v>70</v>
      </c>
      <c r="C20" s="234" t="s">
        <v>71</v>
      </c>
      <c r="D20" s="234" t="s">
        <v>5</v>
      </c>
      <c r="E20" s="234" t="s">
        <v>6</v>
      </c>
      <c r="F20" s="233" t="s">
        <v>7</v>
      </c>
      <c r="G20" s="234" t="s">
        <v>8</v>
      </c>
      <c r="H20" s="233" t="s">
        <v>7</v>
      </c>
      <c r="I20" s="234" t="s">
        <v>9</v>
      </c>
      <c r="J20" s="233" t="s">
        <v>10</v>
      </c>
      <c r="K20" s="234" t="s">
        <v>34</v>
      </c>
      <c r="L20" s="233" t="s">
        <v>72</v>
      </c>
      <c r="M20" s="233" t="s">
        <v>72</v>
      </c>
      <c r="N20" s="233" t="s">
        <v>11</v>
      </c>
      <c r="O20" s="233" t="s">
        <v>11</v>
      </c>
      <c r="P20" s="235" t="s">
        <v>12</v>
      </c>
      <c r="Q20" s="235" t="s">
        <v>12</v>
      </c>
      <c r="R20" s="235" t="s">
        <v>76</v>
      </c>
      <c r="S20" s="235" t="s">
        <v>73</v>
      </c>
      <c r="T20" s="234" t="s">
        <v>12</v>
      </c>
      <c r="U20" s="234" t="s">
        <v>12</v>
      </c>
      <c r="V20" s="237" t="s">
        <v>76</v>
      </c>
      <c r="W20" s="234" t="s">
        <v>73</v>
      </c>
      <c r="X20" s="234" t="s">
        <v>75</v>
      </c>
      <c r="Y20" s="234" t="s">
        <v>74</v>
      </c>
      <c r="Z20" s="234" t="s">
        <v>53</v>
      </c>
      <c r="AA20" s="234" t="s">
        <v>54</v>
      </c>
      <c r="AB20" s="234" t="s">
        <v>65</v>
      </c>
      <c r="AC20" s="234" t="s">
        <v>65</v>
      </c>
      <c r="AD20" s="234" t="s">
        <v>65</v>
      </c>
      <c r="AE20" s="241" t="s">
        <v>69</v>
      </c>
      <c r="AF20" s="242"/>
      <c r="AG20" s="242"/>
      <c r="AH20" s="243"/>
      <c r="AI20" s="237" t="s">
        <v>38</v>
      </c>
      <c r="AJ20" s="233" t="s">
        <v>13</v>
      </c>
      <c r="AK20" s="233"/>
      <c r="AL20" s="233"/>
      <c r="AM20" s="23" t="s">
        <v>81</v>
      </c>
      <c r="AN20" s="63" t="s">
        <v>14</v>
      </c>
      <c r="AO20" s="23" t="s">
        <v>80</v>
      </c>
      <c r="AP20" s="23" t="s">
        <v>15</v>
      </c>
      <c r="AQ20" s="239" t="s">
        <v>28</v>
      </c>
      <c r="AR20" s="240"/>
    </row>
    <row r="21" spans="1:44" ht="15" customHeight="1" x14ac:dyDescent="0.25">
      <c r="A21" s="233"/>
      <c r="B21" s="234"/>
      <c r="C21" s="234"/>
      <c r="D21" s="234"/>
      <c r="E21" s="234"/>
      <c r="F21" s="233"/>
      <c r="G21" s="234"/>
      <c r="H21" s="233"/>
      <c r="I21" s="234"/>
      <c r="J21" s="233"/>
      <c r="K21" s="234"/>
      <c r="L21" s="233"/>
      <c r="M21" s="233"/>
      <c r="N21" s="233"/>
      <c r="O21" s="233"/>
      <c r="P21" s="235"/>
      <c r="Q21" s="235"/>
      <c r="R21" s="235" t="s">
        <v>55</v>
      </c>
      <c r="S21" s="235"/>
      <c r="T21" s="234"/>
      <c r="U21" s="234"/>
      <c r="V21" s="237" t="s">
        <v>55</v>
      </c>
      <c r="W21" s="234"/>
      <c r="X21" s="234" t="s">
        <v>56</v>
      </c>
      <c r="Y21" s="234"/>
      <c r="Z21" s="234" t="s">
        <v>56</v>
      </c>
      <c r="AA21" s="234" t="s">
        <v>57</v>
      </c>
      <c r="AB21" s="234"/>
      <c r="AC21" s="234"/>
      <c r="AD21" s="234"/>
      <c r="AE21" s="244"/>
      <c r="AF21" s="245"/>
      <c r="AG21" s="245"/>
      <c r="AH21" s="246"/>
      <c r="AI21" s="237"/>
      <c r="AJ21" s="23" t="s">
        <v>16</v>
      </c>
      <c r="AK21" s="76" t="s">
        <v>17</v>
      </c>
      <c r="AL21" s="76" t="s">
        <v>14</v>
      </c>
      <c r="AM21" s="23" t="s">
        <v>18</v>
      </c>
      <c r="AN21" s="23" t="s">
        <v>19</v>
      </c>
      <c r="AO21" s="23" t="s">
        <v>19</v>
      </c>
      <c r="AP21" s="23" t="s">
        <v>19</v>
      </c>
      <c r="AQ21" s="23" t="s">
        <v>20</v>
      </c>
      <c r="AR21" s="23" t="s">
        <v>20</v>
      </c>
    </row>
    <row r="22" spans="1:44" ht="29.25" customHeight="1" thickBot="1" x14ac:dyDescent="0.3">
      <c r="A22" s="233"/>
      <c r="B22" s="234"/>
      <c r="C22" s="234"/>
      <c r="D22" s="234"/>
      <c r="E22" s="13" t="s">
        <v>21</v>
      </c>
      <c r="F22" s="13" t="s">
        <v>29</v>
      </c>
      <c r="G22" s="13" t="s">
        <v>21</v>
      </c>
      <c r="H22" s="13" t="s">
        <v>29</v>
      </c>
      <c r="I22" s="13" t="s">
        <v>29</v>
      </c>
      <c r="J22" s="13" t="s">
        <v>30</v>
      </c>
      <c r="K22" s="13"/>
      <c r="L22" s="13" t="s">
        <v>35</v>
      </c>
      <c r="M22" s="13" t="s">
        <v>36</v>
      </c>
      <c r="N22" s="13" t="s">
        <v>29</v>
      </c>
      <c r="O22" s="13" t="s">
        <v>22</v>
      </c>
      <c r="P22" s="112" t="s">
        <v>22</v>
      </c>
      <c r="Q22" s="112" t="s">
        <v>29</v>
      </c>
      <c r="R22" s="112" t="s">
        <v>36</v>
      </c>
      <c r="S22" s="112"/>
      <c r="T22" s="13" t="s">
        <v>22</v>
      </c>
      <c r="U22" s="13" t="s">
        <v>29</v>
      </c>
      <c r="V22" s="13" t="s">
        <v>36</v>
      </c>
      <c r="W22" s="13"/>
      <c r="X22" s="13" t="s">
        <v>67</v>
      </c>
      <c r="Y22" s="13"/>
      <c r="Z22" s="13" t="s">
        <v>67</v>
      </c>
      <c r="AA22" s="13" t="s">
        <v>57</v>
      </c>
      <c r="AB22" s="13" t="s">
        <v>59</v>
      </c>
      <c r="AC22" s="13" t="s">
        <v>66</v>
      </c>
      <c r="AD22" s="13" t="s">
        <v>54</v>
      </c>
      <c r="AE22" s="13" t="s">
        <v>59</v>
      </c>
      <c r="AF22" s="13" t="s">
        <v>66</v>
      </c>
      <c r="AG22" s="13" t="s">
        <v>54</v>
      </c>
      <c r="AH22" s="13" t="s">
        <v>68</v>
      </c>
      <c r="AI22" s="13" t="s">
        <v>29</v>
      </c>
      <c r="AJ22" s="13" t="s">
        <v>23</v>
      </c>
      <c r="AK22" s="13" t="s">
        <v>23</v>
      </c>
      <c r="AL22" s="13" t="s">
        <v>23</v>
      </c>
      <c r="AM22" s="13" t="s">
        <v>23</v>
      </c>
      <c r="AN22" s="13" t="s">
        <v>23</v>
      </c>
      <c r="AO22" s="13" t="s">
        <v>23</v>
      </c>
      <c r="AP22" s="13"/>
      <c r="AQ22" s="13" t="s">
        <v>24</v>
      </c>
      <c r="AR22" s="13" t="s">
        <v>25</v>
      </c>
    </row>
    <row r="23" spans="1:44" x14ac:dyDescent="0.25">
      <c r="A23" s="229">
        <v>1</v>
      </c>
      <c r="B23" s="229">
        <v>1</v>
      </c>
      <c r="C23" s="229">
        <v>2</v>
      </c>
      <c r="D23" s="229">
        <v>49.3</v>
      </c>
      <c r="E23" s="127">
        <v>1</v>
      </c>
      <c r="F23" s="132">
        <f>+$D$23-$B$5</f>
        <v>48.099999999999994</v>
      </c>
      <c r="G23" s="127">
        <v>1</v>
      </c>
      <c r="H23" s="129">
        <f>+$D$48-$B$5-$B$4</f>
        <v>47.5</v>
      </c>
      <c r="I23" s="129">
        <v>80</v>
      </c>
      <c r="J23" s="130">
        <f>+(F23-H23)/I23</f>
        <v>7.4999999999999286E-3</v>
      </c>
      <c r="K23" s="138">
        <f>+H4</f>
        <v>158</v>
      </c>
      <c r="L23" s="132">
        <f>IF(K23&lt;38,K23^0.3686*0.7401,IF(K23&lt;235,K23^0.4193*0.6215,IF(K23&lt;932,K23*0.0092+4.2493,K23*0.0069+6.7345)))</f>
        <v>5.1920402377148429</v>
      </c>
      <c r="M23" s="133">
        <f>+L23/1000</f>
        <v>5.1920402377148428E-3</v>
      </c>
      <c r="N23" s="133">
        <f t="shared" ref="N23:N27" si="0">+IF(J23&gt;0,((M23*$B$2*(4^(5/3))/((J23^0.5)*PI()*$B$6))^(3/8)),0)</f>
        <v>9.58371905595157E-2</v>
      </c>
      <c r="O23" s="133">
        <f t="shared" ref="O23:O54" si="1">+N23*(100/2.54)</f>
        <v>3.7731177385636103</v>
      </c>
      <c r="P23" s="134">
        <f>IF(O23&lt;0.1,0,IF(O23&lt;4,6,EVEN(O23)))</f>
        <v>6</v>
      </c>
      <c r="Q23" s="135">
        <f>IF(O23&gt;0,VLOOKUP(P23,'$ alcantarillado'!$I$5:$L$22,4,FALSE),"0")</f>
        <v>0.14499999999999999</v>
      </c>
      <c r="R23" s="135">
        <f t="shared" ref="R23:R54" si="2">IF(P23&gt;0,PI()*((Q23)^(8/3))*((J23)^0.5)/($B$2*4^(5/3)),"")</f>
        <v>1.5663730108172885E-2</v>
      </c>
      <c r="S23" s="136">
        <f>IF(P23&gt;0,+M23/R23,0)</f>
        <v>0.33146895419283212</v>
      </c>
      <c r="T23" s="134">
        <f>+IF(S23&gt;$B$13,VLOOKUP(P23,'$ alcantarillado'!$I$6:$N$22,5),P23)</f>
        <v>6</v>
      </c>
      <c r="U23" s="135">
        <f>IF(O23&gt;0,VLOOKUP(T23,'$ alcantarillado'!$I$5:$L$22,4),"0")</f>
        <v>0.14499999999999999</v>
      </c>
      <c r="V23" s="135">
        <f t="shared" ref="V23:V27" si="3">IF(T23&gt;0,PI()*((U23)^(8/3))*((J23)^0.5)/($B$2*4^(5/3)),"")</f>
        <v>1.5663730108172885E-2</v>
      </c>
      <c r="W23" s="136">
        <f t="shared" ref="W23:W54" si="4">IF(T23&gt;0,M23/V23,0)</f>
        <v>0.33146895419283212</v>
      </c>
      <c r="X23" s="136">
        <f>IF(T23&gt;0,4*V23/(PI()*(U23)^2),"")</f>
        <v>0.9485698260063975</v>
      </c>
      <c r="Y23" s="135">
        <f>IF(T23&gt;0,(VLOOKUP($W23,Relaciones!$A$4:$D$108,2)),"")</f>
        <v>0.75</v>
      </c>
      <c r="Z23" s="136">
        <f>IF(T23&gt;0,Y23*X23,"")</f>
        <v>0.71142736950479812</v>
      </c>
      <c r="AA23" s="136">
        <f>IF(T23&gt;0,250*U23*J23,"")</f>
        <v>0.27187499999999742</v>
      </c>
      <c r="AB23" s="137" t="str">
        <f>IF(T23&gt;0,IF(W23&lt;=$B$13,"OK","No Cumple"),"")</f>
        <v>OK</v>
      </c>
      <c r="AC23" s="137" t="str">
        <f>IF(T23&gt;0,IF(Z23&gt;=$B$12,"OK","No Cumple"),"")</f>
        <v>OK</v>
      </c>
      <c r="AD23" s="137" t="str">
        <f>IF(T23&gt;0,IF(AA23&gt;$B$14,"OK","No Cumple"),"")</f>
        <v>OK</v>
      </c>
      <c r="AE23" s="138">
        <f>+IF(AB23="OK",1,0)</f>
        <v>1</v>
      </c>
      <c r="AF23" s="138">
        <f>+IF(AC23="OK",1,0)</f>
        <v>1</v>
      </c>
      <c r="AG23" s="138">
        <f>+IF(AD23="OK",1,0)</f>
        <v>1</v>
      </c>
      <c r="AH23" s="138">
        <f>SUM(AE23:AG23)</f>
        <v>3</v>
      </c>
      <c r="AI23" s="137">
        <f>IF(AH23=3,2*$B$7+U23,0)</f>
        <v>0.64500000000000002</v>
      </c>
      <c r="AJ23" s="139">
        <f>IF(AI23&gt;0,I23*VLOOKUP(T23,'$ alcantarillado'!$I$6:$K$22,3),0)</f>
        <v>1912173.3333333335</v>
      </c>
      <c r="AK23" s="139">
        <f t="shared" ref="AK23:AK47" si="5">IF(N23&gt;0,((($D$23-F23)+(U23))+(($D$48-H23)+(U23))/2)*AI23*I23*$C$9,0)</f>
        <v>2106054.0000000042</v>
      </c>
      <c r="AL23" s="139">
        <f t="shared" ref="AL23:AL47" si="6">IF(AI23&gt;0,(($D$23-F23)+U23)*$C$10,0)</f>
        <v>938784.44500000204</v>
      </c>
      <c r="AM23" s="139">
        <f>IF(AJ23&gt;0,AJ23+AK23+AL23,0)</f>
        <v>4957011.7783333398</v>
      </c>
      <c r="AN23" s="129">
        <v>0</v>
      </c>
      <c r="AO23" s="173">
        <f>IF((AM23+AN23)&gt;0,(AM23+AN23),"")</f>
        <v>4957011.7783333398</v>
      </c>
      <c r="AP23" s="225">
        <f>+MIN(AO23:AO27)</f>
        <v>4957011.7783333398</v>
      </c>
      <c r="AQ23" s="129"/>
      <c r="AR23" s="163"/>
    </row>
    <row r="24" spans="1:44" x14ac:dyDescent="0.25">
      <c r="A24" s="230"/>
      <c r="B24" s="230"/>
      <c r="C24" s="230"/>
      <c r="D24" s="230"/>
      <c r="E24" s="141">
        <v>2</v>
      </c>
      <c r="F24" s="128">
        <f>+F23-$B$4</f>
        <v>47.599999999999994</v>
      </c>
      <c r="G24" s="141">
        <v>1</v>
      </c>
      <c r="H24" s="142">
        <f>+H23</f>
        <v>47.5</v>
      </c>
      <c r="I24" s="142">
        <f>+I23</f>
        <v>80</v>
      </c>
      <c r="J24" s="143">
        <f t="shared" ref="J24:J87" si="7">+(F24-H24)/I24</f>
        <v>1.2499999999999289E-3</v>
      </c>
      <c r="K24" s="142">
        <f>+K23</f>
        <v>158</v>
      </c>
      <c r="L24" s="128">
        <f t="shared" ref="L24:L87" si="8">IF(K24&lt;38,K24^0.3686*0.7401,IF(K24&lt;235,K24^0.4193*0.6215,IF(K24&lt;932,K24*0.0092+4.2493,K24*0.0069+6.7345)))</f>
        <v>5.1920402377148429</v>
      </c>
      <c r="M24" s="144">
        <f t="shared" ref="M24:M47" si="9">+L24/1000</f>
        <v>5.1920402377148428E-3</v>
      </c>
      <c r="N24" s="144">
        <f t="shared" si="0"/>
        <v>0.13410267267565754</v>
      </c>
      <c r="O24" s="144">
        <f t="shared" si="1"/>
        <v>5.2796327825062024</v>
      </c>
      <c r="P24" s="145">
        <f t="shared" ref="P24:P86" si="10">IF(O24&lt;0.1,0,IF(O24&lt;4,6,EVEN(O24)))</f>
        <v>6</v>
      </c>
      <c r="Q24" s="113">
        <f>IF(O24&gt;0,VLOOKUP(P24,'$ alcantarillado'!$I$5:$L$22,4,FALSE),"0")</f>
        <v>0.14499999999999999</v>
      </c>
      <c r="R24" s="113">
        <f t="shared" si="2"/>
        <v>6.3946910389487679E-3</v>
      </c>
      <c r="S24" s="146">
        <f>IF(P24&gt;0,+M24/R24,0)</f>
        <v>0.81192980334642872</v>
      </c>
      <c r="T24" s="145">
        <f>+IF(S24&gt;$B$13,VLOOKUP(P24,'$ alcantarillado'!$I$6:$N$22,5),P24)</f>
        <v>6</v>
      </c>
      <c r="U24" s="113">
        <f>IF(O24&gt;0,VLOOKUP(T24,'$ alcantarillado'!$I$5:$L$22,4),"0")</f>
        <v>0.14499999999999999</v>
      </c>
      <c r="V24" s="113">
        <f t="shared" si="3"/>
        <v>6.3946910389487679E-3</v>
      </c>
      <c r="W24" s="146">
        <f t="shared" si="4"/>
        <v>0.81192980334642872</v>
      </c>
      <c r="X24" s="146">
        <f t="shared" ref="X24:X27" si="11">IF(T24&gt;0,4*V24/(PI()*(U24)^2),"")</f>
        <v>0.38725200985270652</v>
      </c>
      <c r="Y24" s="113">
        <f>IF(T24&gt;0,(VLOOKUP($W24,Relaciones!$A$4:$D$108,2)),"")</f>
        <v>0.98699999999999999</v>
      </c>
      <c r="Z24" s="146">
        <f t="shared" ref="Z24:Z27" si="12">IF(T24&gt;0,Y24*X24,"")</f>
        <v>0.38221773372462131</v>
      </c>
      <c r="AA24" s="146">
        <f t="shared" ref="AA24:AA27" si="13">IF(T24&gt;0,250*U24*J24,"")</f>
        <v>4.5312499999997424E-2</v>
      </c>
      <c r="AB24" s="147" t="str">
        <f t="shared" ref="AB24:AB27" si="14">IF(T24&gt;0,IF(W24&lt;=$B$13,"OK","No Cumple"),"")</f>
        <v>OK</v>
      </c>
      <c r="AC24" s="147" t="str">
        <f t="shared" ref="AC24:AC27" si="15">IF(T24&gt;0,IF(Z24&gt;=$B$12,"OK","No Cumple"),"")</f>
        <v>No Cumple</v>
      </c>
      <c r="AD24" s="147" t="str">
        <f t="shared" ref="AD24:AD27" si="16">IF(T24&gt;0,IF(AA24&gt;$B$14,"OK","No Cumple"),"")</f>
        <v>No Cumple</v>
      </c>
      <c r="AE24" s="148">
        <f t="shared" ref="AE24" si="17">+IF(AB24="OK",1,0)</f>
        <v>1</v>
      </c>
      <c r="AF24" s="148">
        <f t="shared" ref="AF24" si="18">+IF(AC24="OK",1,0)</f>
        <v>0</v>
      </c>
      <c r="AG24" s="148">
        <f t="shared" ref="AG24" si="19">+IF(AD24="OK",1,0)</f>
        <v>0</v>
      </c>
      <c r="AH24" s="148">
        <f t="shared" ref="AH24" si="20">SUM(AE24:AG24)</f>
        <v>1</v>
      </c>
      <c r="AI24" s="147">
        <f>IF(AH24=3,2*$B$7+U24,0)</f>
        <v>0</v>
      </c>
      <c r="AJ24" s="149">
        <f>IF(AI24&gt;0,I24*VLOOKUP(T24,'$ alcantarillado'!$I$6:$K$22,3),0)</f>
        <v>0</v>
      </c>
      <c r="AK24" s="149">
        <f t="shared" si="5"/>
        <v>0</v>
      </c>
      <c r="AL24" s="149">
        <f t="shared" si="6"/>
        <v>0</v>
      </c>
      <c r="AM24" s="149">
        <f t="shared" ref="AM24:AM87" si="21">IF(AJ24&gt;0,AJ24+AK24+AL24,0)</f>
        <v>0</v>
      </c>
      <c r="AN24" s="142">
        <v>0</v>
      </c>
      <c r="AO24" s="150" t="str">
        <f t="shared" ref="AO24:AO27" si="22">IF((AM24+AN24)&gt;0,(AM24+AN24),"")</f>
        <v/>
      </c>
      <c r="AP24" s="226"/>
      <c r="AQ24" s="142">
        <v>1</v>
      </c>
      <c r="AR24" s="165">
        <v>1</v>
      </c>
    </row>
    <row r="25" spans="1:44" x14ac:dyDescent="0.25">
      <c r="A25" s="230"/>
      <c r="B25" s="230"/>
      <c r="C25" s="230"/>
      <c r="D25" s="230"/>
      <c r="E25" s="151">
        <v>3</v>
      </c>
      <c r="F25" s="128">
        <f t="shared" ref="F25:F27" si="23">+F24-$B$4</f>
        <v>47.099999999999994</v>
      </c>
      <c r="G25" s="151">
        <v>1</v>
      </c>
      <c r="H25" s="142">
        <f t="shared" ref="H25:H26" si="24">+H24</f>
        <v>47.5</v>
      </c>
      <c r="I25" s="142">
        <f t="shared" ref="I25:K26" si="25">+I24</f>
        <v>80</v>
      </c>
      <c r="J25" s="143">
        <f t="shared" si="7"/>
        <v>-5.0000000000000712E-3</v>
      </c>
      <c r="K25" s="142">
        <f t="shared" si="25"/>
        <v>158</v>
      </c>
      <c r="L25" s="128">
        <f t="shared" si="8"/>
        <v>5.1920402377148429</v>
      </c>
      <c r="M25" s="144">
        <f t="shared" si="9"/>
        <v>5.1920402377148428E-3</v>
      </c>
      <c r="N25" s="144">
        <f t="shared" si="0"/>
        <v>0</v>
      </c>
      <c r="O25" s="144">
        <f t="shared" si="1"/>
        <v>0</v>
      </c>
      <c r="P25" s="145">
        <f t="shared" si="10"/>
        <v>0</v>
      </c>
      <c r="Q25" s="113" t="str">
        <f>IF(O25&gt;0,VLOOKUP(P25,'$ alcantarillado'!$I$5:$L$22,4,FALSE),"0")</f>
        <v>0</v>
      </c>
      <c r="R25" s="113" t="str">
        <f t="shared" si="2"/>
        <v/>
      </c>
      <c r="S25" s="146">
        <f t="shared" ref="S25:S54" si="26">IF(P25&gt;0,+M25/R25,0)</f>
        <v>0</v>
      </c>
      <c r="T25" s="145">
        <f>+IF(S25&gt;$B$13,VLOOKUP(P25,'$ alcantarillado'!$I$6:$N$22,5),P25)</f>
        <v>0</v>
      </c>
      <c r="U25" s="113" t="str">
        <f>IF(O25&gt;0,VLOOKUP(T25,'$ alcantarillado'!$I$5:$L$22,4),"0")</f>
        <v>0</v>
      </c>
      <c r="V25" s="113" t="str">
        <f t="shared" si="3"/>
        <v/>
      </c>
      <c r="W25" s="146">
        <f t="shared" si="4"/>
        <v>0</v>
      </c>
      <c r="X25" s="146" t="str">
        <f t="shared" si="11"/>
        <v/>
      </c>
      <c r="Y25" s="113" t="str">
        <f>IF(T25&gt;0,(VLOOKUP($W25,Relaciones!$A$4:$D$108,2)),"")</f>
        <v/>
      </c>
      <c r="Z25" s="146" t="str">
        <f t="shared" si="12"/>
        <v/>
      </c>
      <c r="AA25" s="146" t="str">
        <f t="shared" si="13"/>
        <v/>
      </c>
      <c r="AB25" s="147" t="str">
        <f t="shared" si="14"/>
        <v/>
      </c>
      <c r="AC25" s="147" t="str">
        <f t="shared" si="15"/>
        <v/>
      </c>
      <c r="AD25" s="147" t="str">
        <f t="shared" si="16"/>
        <v/>
      </c>
      <c r="AE25" s="148">
        <f t="shared" ref="AE25:AE27" si="27">+IF(AB25="OK",1,0)</f>
        <v>0</v>
      </c>
      <c r="AF25" s="148">
        <f t="shared" ref="AF25:AF27" si="28">+IF(AC25="OK",1,0)</f>
        <v>0</v>
      </c>
      <c r="AG25" s="148">
        <f t="shared" ref="AG25:AG27" si="29">+IF(AD25="OK",1,0)</f>
        <v>0</v>
      </c>
      <c r="AH25" s="148">
        <f t="shared" ref="AH25:AH27" si="30">SUM(AE25:AG25)</f>
        <v>0</v>
      </c>
      <c r="AI25" s="147">
        <f t="shared" ref="AI25:AI27" si="31">IF(AH25=3,2*$B$7+U25,0)</f>
        <v>0</v>
      </c>
      <c r="AJ25" s="149">
        <f>IF(AI25&gt;0,I25*VLOOKUP(T25,'$ alcantarillado'!$I$6:$K$22,3),0)</f>
        <v>0</v>
      </c>
      <c r="AK25" s="149">
        <f t="shared" si="5"/>
        <v>0</v>
      </c>
      <c r="AL25" s="149">
        <f t="shared" si="6"/>
        <v>0</v>
      </c>
      <c r="AM25" s="149">
        <f t="shared" si="21"/>
        <v>0</v>
      </c>
      <c r="AN25" s="142">
        <v>0</v>
      </c>
      <c r="AO25" s="150" t="str">
        <f t="shared" si="22"/>
        <v/>
      </c>
      <c r="AP25" s="227"/>
      <c r="AQ25" s="142"/>
      <c r="AR25" s="165"/>
    </row>
    <row r="26" spans="1:44" x14ac:dyDescent="0.25">
      <c r="A26" s="230"/>
      <c r="B26" s="230"/>
      <c r="C26" s="230"/>
      <c r="D26" s="230"/>
      <c r="E26" s="151">
        <v>4</v>
      </c>
      <c r="F26" s="128">
        <f t="shared" si="23"/>
        <v>46.599999999999994</v>
      </c>
      <c r="G26" s="151">
        <v>1</v>
      </c>
      <c r="H26" s="142">
        <f t="shared" si="24"/>
        <v>47.5</v>
      </c>
      <c r="I26" s="142">
        <f t="shared" si="25"/>
        <v>80</v>
      </c>
      <c r="J26" s="143">
        <f>+(F26-H26)/I26</f>
        <v>-1.1250000000000071E-2</v>
      </c>
      <c r="K26" s="142">
        <f t="shared" si="25"/>
        <v>158</v>
      </c>
      <c r="L26" s="128">
        <f t="shared" si="8"/>
        <v>5.1920402377148429</v>
      </c>
      <c r="M26" s="144">
        <f t="shared" si="9"/>
        <v>5.1920402377148428E-3</v>
      </c>
      <c r="N26" s="144">
        <f t="shared" si="0"/>
        <v>0</v>
      </c>
      <c r="O26" s="144">
        <f t="shared" si="1"/>
        <v>0</v>
      </c>
      <c r="P26" s="145">
        <f t="shared" si="10"/>
        <v>0</v>
      </c>
      <c r="Q26" s="113" t="str">
        <f>IF(O26&gt;0,VLOOKUP(P26,'$ alcantarillado'!$I$5:$L$22,4,FALSE),"0")</f>
        <v>0</v>
      </c>
      <c r="R26" s="113" t="str">
        <f t="shared" si="2"/>
        <v/>
      </c>
      <c r="S26" s="146">
        <f t="shared" si="26"/>
        <v>0</v>
      </c>
      <c r="T26" s="145">
        <f>+IF(S26&gt;$B$13,VLOOKUP(P26,'$ alcantarillado'!$I$6:$N$22,5),P26)</f>
        <v>0</v>
      </c>
      <c r="U26" s="113" t="str">
        <f>IF(O26&gt;0,VLOOKUP(T26,'$ alcantarillado'!$I$5:$L$22,4),"0")</f>
        <v>0</v>
      </c>
      <c r="V26" s="113" t="str">
        <f t="shared" si="3"/>
        <v/>
      </c>
      <c r="W26" s="146">
        <f t="shared" si="4"/>
        <v>0</v>
      </c>
      <c r="X26" s="146" t="str">
        <f t="shared" si="11"/>
        <v/>
      </c>
      <c r="Y26" s="113" t="str">
        <f>IF(T26&gt;0,(VLOOKUP($W26,Relaciones!$A$4:$D$108,2)),"")</f>
        <v/>
      </c>
      <c r="Z26" s="146" t="str">
        <f t="shared" si="12"/>
        <v/>
      </c>
      <c r="AA26" s="146" t="str">
        <f t="shared" si="13"/>
        <v/>
      </c>
      <c r="AB26" s="147" t="str">
        <f t="shared" si="14"/>
        <v/>
      </c>
      <c r="AC26" s="147" t="str">
        <f t="shared" si="15"/>
        <v/>
      </c>
      <c r="AD26" s="147" t="str">
        <f t="shared" si="16"/>
        <v/>
      </c>
      <c r="AE26" s="148">
        <f t="shared" si="27"/>
        <v>0</v>
      </c>
      <c r="AF26" s="148">
        <f t="shared" si="28"/>
        <v>0</v>
      </c>
      <c r="AG26" s="148">
        <f t="shared" si="29"/>
        <v>0</v>
      </c>
      <c r="AH26" s="148">
        <f t="shared" si="30"/>
        <v>0</v>
      </c>
      <c r="AI26" s="147">
        <f t="shared" si="31"/>
        <v>0</v>
      </c>
      <c r="AJ26" s="149">
        <f>IF(AI26&gt;0,I26*VLOOKUP(T26,'$ alcantarillado'!$I$6:$K$22,3),0)</f>
        <v>0</v>
      </c>
      <c r="AK26" s="149">
        <f t="shared" si="5"/>
        <v>0</v>
      </c>
      <c r="AL26" s="149">
        <f t="shared" si="6"/>
        <v>0</v>
      </c>
      <c r="AM26" s="149">
        <f t="shared" si="21"/>
        <v>0</v>
      </c>
      <c r="AN26" s="142">
        <v>0</v>
      </c>
      <c r="AO26" s="150" t="str">
        <f t="shared" si="22"/>
        <v/>
      </c>
      <c r="AP26" s="227"/>
      <c r="AQ26" s="142"/>
      <c r="AR26" s="165"/>
    </row>
    <row r="27" spans="1:44" ht="15.75" thickBot="1" x14ac:dyDescent="0.3">
      <c r="A27" s="230"/>
      <c r="B27" s="230"/>
      <c r="C27" s="230"/>
      <c r="D27" s="230"/>
      <c r="E27" s="152">
        <v>5</v>
      </c>
      <c r="F27" s="153">
        <f t="shared" si="23"/>
        <v>46.099999999999994</v>
      </c>
      <c r="G27" s="152">
        <v>1</v>
      </c>
      <c r="H27" s="154">
        <f>+H26</f>
        <v>47.5</v>
      </c>
      <c r="I27" s="154">
        <f>+I26</f>
        <v>80</v>
      </c>
      <c r="J27" s="155">
        <f t="shared" si="7"/>
        <v>-1.7500000000000071E-2</v>
      </c>
      <c r="K27" s="154">
        <f>+K26</f>
        <v>158</v>
      </c>
      <c r="L27" s="153">
        <f t="shared" si="8"/>
        <v>5.1920402377148429</v>
      </c>
      <c r="M27" s="156">
        <f t="shared" si="9"/>
        <v>5.1920402377148428E-3</v>
      </c>
      <c r="N27" s="156">
        <f t="shared" si="0"/>
        <v>0</v>
      </c>
      <c r="O27" s="156">
        <f t="shared" si="1"/>
        <v>0</v>
      </c>
      <c r="P27" s="157">
        <f t="shared" si="10"/>
        <v>0</v>
      </c>
      <c r="Q27" s="113" t="str">
        <f>IF(O27&gt;0,VLOOKUP(P27,'$ alcantarillado'!$I$5:$L$22,4,FALSE),"0")</f>
        <v>0</v>
      </c>
      <c r="R27" s="113" t="str">
        <f t="shared" si="2"/>
        <v/>
      </c>
      <c r="S27" s="146">
        <f t="shared" si="26"/>
        <v>0</v>
      </c>
      <c r="T27" s="145">
        <f>+IF(S27&gt;$B$13,VLOOKUP(P27,'$ alcantarillado'!$I$6:$N$22,5),P27)</f>
        <v>0</v>
      </c>
      <c r="U27" s="113" t="str">
        <f>IF(O27&gt;0,VLOOKUP(T27,'$ alcantarillado'!$I$5:$L$22,4),"0")</f>
        <v>0</v>
      </c>
      <c r="V27" s="113" t="str">
        <f t="shared" si="3"/>
        <v/>
      </c>
      <c r="W27" s="146">
        <f t="shared" si="4"/>
        <v>0</v>
      </c>
      <c r="X27" s="146" t="str">
        <f t="shared" si="11"/>
        <v/>
      </c>
      <c r="Y27" s="113" t="str">
        <f>IF(T27&gt;0,(VLOOKUP($W27,Relaciones!$A$4:$D$108,2)),"")</f>
        <v/>
      </c>
      <c r="Z27" s="146" t="str">
        <f t="shared" si="12"/>
        <v/>
      </c>
      <c r="AA27" s="146" t="str">
        <f t="shared" si="13"/>
        <v/>
      </c>
      <c r="AB27" s="147" t="str">
        <f t="shared" si="14"/>
        <v/>
      </c>
      <c r="AC27" s="147" t="str">
        <f t="shared" si="15"/>
        <v/>
      </c>
      <c r="AD27" s="147" t="str">
        <f t="shared" si="16"/>
        <v/>
      </c>
      <c r="AE27" s="148">
        <f t="shared" si="27"/>
        <v>0</v>
      </c>
      <c r="AF27" s="148">
        <f t="shared" si="28"/>
        <v>0</v>
      </c>
      <c r="AG27" s="148">
        <f t="shared" si="29"/>
        <v>0</v>
      </c>
      <c r="AH27" s="148">
        <f t="shared" si="30"/>
        <v>0</v>
      </c>
      <c r="AI27" s="147">
        <f t="shared" si="31"/>
        <v>0</v>
      </c>
      <c r="AJ27" s="158">
        <f>IF(AI27&gt;0,I27*VLOOKUP(T27,'$ alcantarillado'!$I$6:$K$22,3),0)</f>
        <v>0</v>
      </c>
      <c r="AK27" s="158">
        <f t="shared" si="5"/>
        <v>0</v>
      </c>
      <c r="AL27" s="158">
        <f t="shared" si="6"/>
        <v>0</v>
      </c>
      <c r="AM27" s="158">
        <f t="shared" si="21"/>
        <v>0</v>
      </c>
      <c r="AN27" s="154">
        <v>0</v>
      </c>
      <c r="AO27" s="159" t="str">
        <f t="shared" si="22"/>
        <v/>
      </c>
      <c r="AP27" s="228"/>
      <c r="AQ27" s="154"/>
      <c r="AR27" s="166"/>
    </row>
    <row r="28" spans="1:44" x14ac:dyDescent="0.25">
      <c r="A28" s="230"/>
      <c r="B28" s="230"/>
      <c r="C28" s="230"/>
      <c r="D28" s="230"/>
      <c r="E28" s="127">
        <v>1</v>
      </c>
      <c r="F28" s="132">
        <f>+$D$23-$B$5</f>
        <v>48.099999999999994</v>
      </c>
      <c r="G28" s="127">
        <v>2</v>
      </c>
      <c r="H28" s="142">
        <f>+H23-$B$4</f>
        <v>47</v>
      </c>
      <c r="I28" s="142">
        <f>+I27</f>
        <v>80</v>
      </c>
      <c r="J28" s="143">
        <f>+(F28-H28)/I28</f>
        <v>1.3749999999999929E-2</v>
      </c>
      <c r="K28" s="142">
        <f>+K27</f>
        <v>158</v>
      </c>
      <c r="L28" s="132">
        <f>IF(K28&lt;38,K28^0.3686*0.7401,IF(K28&lt;235,K28^0.4193*0.6215,IF(K28&lt;932,K28*0.0092+4.2493,K28*0.0069+6.7345)))</f>
        <v>5.1920402377148429</v>
      </c>
      <c r="M28" s="133">
        <f>+L28/1000</f>
        <v>5.1920402377148428E-3</v>
      </c>
      <c r="N28" s="133">
        <f t="shared" ref="N28:N52" si="32">+IF(J28&gt;0,((M28*$B$2*(4^(5/3))/((J28^0.5)*PI()*$B$6))^(3/8)),0)</f>
        <v>8.554139038768109E-2</v>
      </c>
      <c r="O28" s="133">
        <f t="shared" si="1"/>
        <v>3.3677712751055546</v>
      </c>
      <c r="P28" s="134">
        <f t="shared" si="10"/>
        <v>6</v>
      </c>
      <c r="Q28" s="135">
        <f>IF(O28&gt;0,VLOOKUP(P28,'$ alcantarillado'!$I$5:$L$22,4,FALSE),"0")</f>
        <v>0.14499999999999999</v>
      </c>
      <c r="R28" s="135">
        <f t="shared" si="2"/>
        <v>2.1208790826441566E-2</v>
      </c>
      <c r="S28" s="136">
        <f t="shared" si="26"/>
        <v>0.24480604670973452</v>
      </c>
      <c r="T28" s="134">
        <f>+IF(S28&gt;$B$13,VLOOKUP(P28,'$ alcantarillado'!$I$6:$N$22,5),P28)</f>
        <v>6</v>
      </c>
      <c r="U28" s="135">
        <f>IF(O28&gt;0,VLOOKUP(T28,'$ alcantarillado'!$I$5:$L$22,4),"0")</f>
        <v>0.14499999999999999</v>
      </c>
      <c r="V28" s="135">
        <f t="shared" ref="V28:V52" si="33">IF(T28&gt;0,PI()*((U28)^(8/3))*((J28)^0.5)/($B$2*4^(5/3)),"")</f>
        <v>2.1208790826441566E-2</v>
      </c>
      <c r="W28" s="136">
        <f t="shared" si="4"/>
        <v>0.24480604670973452</v>
      </c>
      <c r="X28" s="136">
        <f>IF(T28&gt;0,4*V28/(PI()*(U28)^2),"")</f>
        <v>1.2843696159924736</v>
      </c>
      <c r="Y28" s="135">
        <f>IF(T28&gt;0,(VLOOKUP($W28,Relaciones!$A$4:$D$108,2)),"")</f>
        <v>0.68700000000000006</v>
      </c>
      <c r="Z28" s="136">
        <f>IF(T28&gt;0,Y28*X28,"")</f>
        <v>0.8823619261868294</v>
      </c>
      <c r="AA28" s="136">
        <f>IF(T28&gt;0,250*U28*J28,"")</f>
        <v>0.49843749999999742</v>
      </c>
      <c r="AB28" s="137" t="str">
        <f>IF(T28&gt;0,IF(W28&lt;=$B$13,"OK","No Cumple"),"")</f>
        <v>OK</v>
      </c>
      <c r="AC28" s="137" t="str">
        <f>IF(T28&gt;0,IF(Z28&gt;=$B$12,"OK","No Cumple"),"")</f>
        <v>OK</v>
      </c>
      <c r="AD28" s="137" t="str">
        <f>IF(T28&gt;0,IF(AA28&gt;$B$14,"OK","No Cumple"),"")</f>
        <v>OK</v>
      </c>
      <c r="AE28" s="138">
        <f>+IF(AB28="OK",1,0)</f>
        <v>1</v>
      </c>
      <c r="AF28" s="138">
        <f>+IF(AC28="OK",1,0)</f>
        <v>1</v>
      </c>
      <c r="AG28" s="138">
        <f>+IF(AD28="OK",1,0)</f>
        <v>1</v>
      </c>
      <c r="AH28" s="138">
        <f>SUM(AE28:AG28)</f>
        <v>3</v>
      </c>
      <c r="AI28" s="137">
        <f>IF(AH28=3,2*$B$7+U28,0)</f>
        <v>0.64500000000000002</v>
      </c>
      <c r="AJ28" s="139">
        <f>IF(AI28&gt;0,I28*VLOOKUP(T28,'$ alcantarillado'!$I$6:$K$22,3),0)</f>
        <v>1912173.3333333335</v>
      </c>
      <c r="AK28" s="139">
        <f t="shared" si="5"/>
        <v>2338254.0000000047</v>
      </c>
      <c r="AL28" s="139">
        <f t="shared" si="6"/>
        <v>938784.44500000204</v>
      </c>
      <c r="AM28" s="139">
        <f>IF(AJ28&gt;0,AJ28+AK28+AL28,0)</f>
        <v>5189211.7783333398</v>
      </c>
      <c r="AN28" s="129">
        <v>0</v>
      </c>
      <c r="AO28" s="140">
        <f t="shared" ref="AO28:AO47" si="34">IF((AM28+AN28)&gt;0,(AM28+AN28),"")</f>
        <v>5189211.7783333398</v>
      </c>
      <c r="AP28" s="232">
        <f>+MIN(AO28:AO32)</f>
        <v>5189211.7783333398</v>
      </c>
      <c r="AQ28" s="142"/>
      <c r="AR28" s="165"/>
    </row>
    <row r="29" spans="1:44" x14ac:dyDescent="0.25">
      <c r="A29" s="230"/>
      <c r="B29" s="230"/>
      <c r="C29" s="230"/>
      <c r="D29" s="230"/>
      <c r="E29" s="141">
        <v>2</v>
      </c>
      <c r="F29" s="128">
        <f>+F28-$B$4</f>
        <v>47.599999999999994</v>
      </c>
      <c r="G29" s="141">
        <v>2</v>
      </c>
      <c r="H29" s="142">
        <f>+H28</f>
        <v>47</v>
      </c>
      <c r="I29" s="142">
        <f>+I28</f>
        <v>80</v>
      </c>
      <c r="J29" s="143">
        <f t="shared" si="7"/>
        <v>7.4999999999999286E-3</v>
      </c>
      <c r="K29" s="142">
        <f>+K28</f>
        <v>158</v>
      </c>
      <c r="L29" s="128">
        <f t="shared" si="8"/>
        <v>5.1920402377148429</v>
      </c>
      <c r="M29" s="144">
        <f t="shared" si="9"/>
        <v>5.1920402377148428E-3</v>
      </c>
      <c r="N29" s="144">
        <f t="shared" si="32"/>
        <v>9.58371905595157E-2</v>
      </c>
      <c r="O29" s="144">
        <f t="shared" si="1"/>
        <v>3.7731177385636103</v>
      </c>
      <c r="P29" s="145">
        <f t="shared" si="10"/>
        <v>6</v>
      </c>
      <c r="Q29" s="113">
        <f>IF(O29&gt;0,VLOOKUP(P29,'$ alcantarillado'!$I$5:$L$22,4,FALSE),"0")</f>
        <v>0.14499999999999999</v>
      </c>
      <c r="R29" s="113">
        <f t="shared" si="2"/>
        <v>1.5663730108172885E-2</v>
      </c>
      <c r="S29" s="146">
        <f t="shared" si="26"/>
        <v>0.33146895419283212</v>
      </c>
      <c r="T29" s="145">
        <f>+IF(S29&gt;$B$13,VLOOKUP(P29,'$ alcantarillado'!$I$6:$N$22,5),P29)</f>
        <v>6</v>
      </c>
      <c r="U29" s="113">
        <f>IF(O29&gt;0,VLOOKUP(T29,'$ alcantarillado'!$I$5:$L$22,4),"0")</f>
        <v>0.14499999999999999</v>
      </c>
      <c r="V29" s="113">
        <f t="shared" si="33"/>
        <v>1.5663730108172885E-2</v>
      </c>
      <c r="W29" s="146">
        <f t="shared" si="4"/>
        <v>0.33146895419283212</v>
      </c>
      <c r="X29" s="146">
        <f t="shared" ref="X29:X32" si="35">IF(T29&gt;0,4*V29/(PI()*(U29)^2),"")</f>
        <v>0.9485698260063975</v>
      </c>
      <c r="Y29" s="113">
        <f>IF(T29&gt;0,(VLOOKUP($W29,Relaciones!$A$4:$D$108,2)),"")</f>
        <v>0.75</v>
      </c>
      <c r="Z29" s="146">
        <f t="shared" ref="Z29:Z32" si="36">IF(T29&gt;0,Y29*X29,"")</f>
        <v>0.71142736950479812</v>
      </c>
      <c r="AA29" s="146">
        <f t="shared" ref="AA29:AA32" si="37">IF(T29&gt;0,250*U29*J29,"")</f>
        <v>0.27187499999999742</v>
      </c>
      <c r="AB29" s="147" t="str">
        <f t="shared" ref="AB29:AB32" si="38">IF(T29&gt;0,IF(W29&lt;=$B$13,"OK","No Cumple"),"")</f>
        <v>OK</v>
      </c>
      <c r="AC29" s="147" t="str">
        <f t="shared" ref="AC29:AC32" si="39">IF(T29&gt;0,IF(Z29&gt;=$B$12,"OK","No Cumple"),"")</f>
        <v>OK</v>
      </c>
      <c r="AD29" s="147" t="str">
        <f t="shared" ref="AD29:AD32" si="40">IF(T29&gt;0,IF(AA29&gt;$B$14,"OK","No Cumple"),"")</f>
        <v>OK</v>
      </c>
      <c r="AE29" s="148">
        <f t="shared" ref="AE29:AE32" si="41">+IF(AB29="OK",1,0)</f>
        <v>1</v>
      </c>
      <c r="AF29" s="148">
        <f t="shared" ref="AF29:AF32" si="42">+IF(AC29="OK",1,0)</f>
        <v>1</v>
      </c>
      <c r="AG29" s="148">
        <f t="shared" ref="AG29:AG32" si="43">+IF(AD29="OK",1,0)</f>
        <v>1</v>
      </c>
      <c r="AH29" s="148">
        <f t="shared" ref="AH29:AH32" si="44">SUM(AE29:AG29)</f>
        <v>3</v>
      </c>
      <c r="AI29" s="147">
        <f t="shared" ref="AI29:AI32" si="45">IF(AH29=3,2*$B$7+U29,0)</f>
        <v>0.64500000000000002</v>
      </c>
      <c r="AJ29" s="149">
        <f>IF(AI29&gt;0,I29*VLOOKUP(T29,'$ alcantarillado'!$I$6:$K$22,3),0)</f>
        <v>1912173.3333333335</v>
      </c>
      <c r="AK29" s="149">
        <f t="shared" si="5"/>
        <v>2802654.0000000047</v>
      </c>
      <c r="AL29" s="149">
        <f t="shared" si="6"/>
        <v>1287774.9450000019</v>
      </c>
      <c r="AM29" s="149">
        <f t="shared" si="21"/>
        <v>6002602.2783333398</v>
      </c>
      <c r="AN29" s="142">
        <v>0</v>
      </c>
      <c r="AO29" s="150">
        <f t="shared" si="34"/>
        <v>6002602.2783333398</v>
      </c>
      <c r="AP29" s="218"/>
      <c r="AQ29" s="142"/>
      <c r="AR29" s="165"/>
    </row>
    <row r="30" spans="1:44" x14ac:dyDescent="0.25">
      <c r="A30" s="230"/>
      <c r="B30" s="230"/>
      <c r="C30" s="230"/>
      <c r="D30" s="230"/>
      <c r="E30" s="151">
        <v>3</v>
      </c>
      <c r="F30" s="128">
        <f t="shared" ref="F30:F32" si="46">+F29-$B$4</f>
        <v>47.099999999999994</v>
      </c>
      <c r="G30" s="151">
        <v>2</v>
      </c>
      <c r="H30" s="142">
        <f t="shared" ref="H30:I31" si="47">+H29</f>
        <v>47</v>
      </c>
      <c r="I30" s="142">
        <f t="shared" si="47"/>
        <v>80</v>
      </c>
      <c r="J30" s="143">
        <f t="shared" si="7"/>
        <v>1.2499999999999289E-3</v>
      </c>
      <c r="K30" s="142">
        <f t="shared" ref="K30:K31" si="48">+K29</f>
        <v>158</v>
      </c>
      <c r="L30" s="128">
        <f t="shared" si="8"/>
        <v>5.1920402377148429</v>
      </c>
      <c r="M30" s="144">
        <f t="shared" si="9"/>
        <v>5.1920402377148428E-3</v>
      </c>
      <c r="N30" s="144">
        <f t="shared" si="32"/>
        <v>0.13410267267565754</v>
      </c>
      <c r="O30" s="144">
        <f t="shared" si="1"/>
        <v>5.2796327825062024</v>
      </c>
      <c r="P30" s="145">
        <f t="shared" si="10"/>
        <v>6</v>
      </c>
      <c r="Q30" s="113">
        <f>IF(O30&gt;0,VLOOKUP(P30,'$ alcantarillado'!$I$5:$L$22,4,FALSE),"0")</f>
        <v>0.14499999999999999</v>
      </c>
      <c r="R30" s="113">
        <f t="shared" si="2"/>
        <v>6.3946910389487679E-3</v>
      </c>
      <c r="S30" s="146">
        <f t="shared" si="26"/>
        <v>0.81192980334642872</v>
      </c>
      <c r="T30" s="145">
        <f>+IF(S30&gt;$B$13,VLOOKUP(P30,'$ alcantarillado'!$I$6:$N$22,5),P30)</f>
        <v>6</v>
      </c>
      <c r="U30" s="113">
        <f>IF(O30&gt;0,VLOOKUP(T30,'$ alcantarillado'!$I$5:$L$22,4),"0")</f>
        <v>0.14499999999999999</v>
      </c>
      <c r="V30" s="113">
        <f t="shared" si="33"/>
        <v>6.3946910389487679E-3</v>
      </c>
      <c r="W30" s="146">
        <f t="shared" si="4"/>
        <v>0.81192980334642872</v>
      </c>
      <c r="X30" s="146">
        <f t="shared" si="35"/>
        <v>0.38725200985270652</v>
      </c>
      <c r="Y30" s="113">
        <f>IF(T30&gt;0,(VLOOKUP($W30,Relaciones!$A$4:$D$108,2)),"")</f>
        <v>0.98699999999999999</v>
      </c>
      <c r="Z30" s="146">
        <f t="shared" si="36"/>
        <v>0.38221773372462131</v>
      </c>
      <c r="AA30" s="146">
        <f t="shared" si="37"/>
        <v>4.5312499999997424E-2</v>
      </c>
      <c r="AB30" s="147" t="str">
        <f t="shared" si="38"/>
        <v>OK</v>
      </c>
      <c r="AC30" s="147" t="str">
        <f t="shared" si="39"/>
        <v>No Cumple</v>
      </c>
      <c r="AD30" s="147" t="str">
        <f t="shared" si="40"/>
        <v>No Cumple</v>
      </c>
      <c r="AE30" s="148">
        <f t="shared" si="41"/>
        <v>1</v>
      </c>
      <c r="AF30" s="148">
        <f t="shared" si="42"/>
        <v>0</v>
      </c>
      <c r="AG30" s="148">
        <f t="shared" si="43"/>
        <v>0</v>
      </c>
      <c r="AH30" s="148">
        <f t="shared" si="44"/>
        <v>1</v>
      </c>
      <c r="AI30" s="147">
        <f t="shared" si="45"/>
        <v>0</v>
      </c>
      <c r="AJ30" s="149">
        <f>IF(AI30&gt;0,I30*VLOOKUP(T30,'$ alcantarillado'!$I$6:$K$22,3),0)</f>
        <v>0</v>
      </c>
      <c r="AK30" s="149">
        <f t="shared" si="5"/>
        <v>0</v>
      </c>
      <c r="AL30" s="149">
        <f t="shared" si="6"/>
        <v>0</v>
      </c>
      <c r="AM30" s="149">
        <f t="shared" si="21"/>
        <v>0</v>
      </c>
      <c r="AN30" s="142">
        <v>0</v>
      </c>
      <c r="AO30" s="150" t="str">
        <f t="shared" si="34"/>
        <v/>
      </c>
      <c r="AP30" s="219"/>
      <c r="AQ30" s="142">
        <v>1</v>
      </c>
      <c r="AR30" s="165">
        <v>2</v>
      </c>
    </row>
    <row r="31" spans="1:44" x14ac:dyDescent="0.25">
      <c r="A31" s="230"/>
      <c r="B31" s="230"/>
      <c r="C31" s="230"/>
      <c r="D31" s="230"/>
      <c r="E31" s="151">
        <v>4</v>
      </c>
      <c r="F31" s="128">
        <f t="shared" si="46"/>
        <v>46.599999999999994</v>
      </c>
      <c r="G31" s="151">
        <v>2</v>
      </c>
      <c r="H31" s="142">
        <f t="shared" si="47"/>
        <v>47</v>
      </c>
      <c r="I31" s="142">
        <f t="shared" si="47"/>
        <v>80</v>
      </c>
      <c r="J31" s="143">
        <f>+(F31-H31)/I31</f>
        <v>-5.0000000000000712E-3</v>
      </c>
      <c r="K31" s="142">
        <f t="shared" si="48"/>
        <v>158</v>
      </c>
      <c r="L31" s="128">
        <f t="shared" si="8"/>
        <v>5.1920402377148429</v>
      </c>
      <c r="M31" s="144">
        <f t="shared" si="9"/>
        <v>5.1920402377148428E-3</v>
      </c>
      <c r="N31" s="144">
        <f t="shared" si="32"/>
        <v>0</v>
      </c>
      <c r="O31" s="144">
        <f t="shared" si="1"/>
        <v>0</v>
      </c>
      <c r="P31" s="145">
        <f t="shared" si="10"/>
        <v>0</v>
      </c>
      <c r="Q31" s="113" t="str">
        <f>IF(O31&gt;0,VLOOKUP(P31,'$ alcantarillado'!$I$5:$L$22,4,FALSE),"0")</f>
        <v>0</v>
      </c>
      <c r="R31" s="113" t="str">
        <f t="shared" si="2"/>
        <v/>
      </c>
      <c r="S31" s="146">
        <f t="shared" si="26"/>
        <v>0</v>
      </c>
      <c r="T31" s="145">
        <f>+IF(S31&gt;$B$13,VLOOKUP(P31,'$ alcantarillado'!$I$6:$N$22,5),P31)</f>
        <v>0</v>
      </c>
      <c r="U31" s="113" t="str">
        <f>IF(O31&gt;0,VLOOKUP(T31,'$ alcantarillado'!$I$5:$L$22,4),"0")</f>
        <v>0</v>
      </c>
      <c r="V31" s="113" t="str">
        <f t="shared" si="33"/>
        <v/>
      </c>
      <c r="W31" s="146">
        <f t="shared" si="4"/>
        <v>0</v>
      </c>
      <c r="X31" s="146" t="str">
        <f t="shared" si="35"/>
        <v/>
      </c>
      <c r="Y31" s="113" t="str">
        <f>IF(T31&gt;0,(VLOOKUP($W31,Relaciones!$A$4:$D$108,2)),"")</f>
        <v/>
      </c>
      <c r="Z31" s="146" t="str">
        <f t="shared" si="36"/>
        <v/>
      </c>
      <c r="AA31" s="146" t="str">
        <f t="shared" si="37"/>
        <v/>
      </c>
      <c r="AB31" s="147" t="str">
        <f t="shared" si="38"/>
        <v/>
      </c>
      <c r="AC31" s="147" t="str">
        <f t="shared" si="39"/>
        <v/>
      </c>
      <c r="AD31" s="147" t="str">
        <f t="shared" si="40"/>
        <v/>
      </c>
      <c r="AE31" s="148">
        <f t="shared" si="41"/>
        <v>0</v>
      </c>
      <c r="AF31" s="148">
        <f t="shared" si="42"/>
        <v>0</v>
      </c>
      <c r="AG31" s="148">
        <f t="shared" si="43"/>
        <v>0</v>
      </c>
      <c r="AH31" s="148">
        <f t="shared" si="44"/>
        <v>0</v>
      </c>
      <c r="AI31" s="147">
        <f t="shared" si="45"/>
        <v>0</v>
      </c>
      <c r="AJ31" s="149">
        <f>IF(AI31&gt;0,I31*VLOOKUP(T31,'$ alcantarillado'!$I$6:$K$22,3),0)</f>
        <v>0</v>
      </c>
      <c r="AK31" s="149">
        <f t="shared" si="5"/>
        <v>0</v>
      </c>
      <c r="AL31" s="149">
        <f t="shared" si="6"/>
        <v>0</v>
      </c>
      <c r="AM31" s="149">
        <f t="shared" si="21"/>
        <v>0</v>
      </c>
      <c r="AN31" s="142">
        <v>0</v>
      </c>
      <c r="AO31" s="150" t="str">
        <f t="shared" si="34"/>
        <v/>
      </c>
      <c r="AP31" s="219"/>
      <c r="AQ31" s="142"/>
      <c r="AR31" s="165"/>
    </row>
    <row r="32" spans="1:44" ht="15.75" thickBot="1" x14ac:dyDescent="0.3">
      <c r="A32" s="230"/>
      <c r="B32" s="230"/>
      <c r="C32" s="230"/>
      <c r="D32" s="230"/>
      <c r="E32" s="152">
        <v>5</v>
      </c>
      <c r="F32" s="153">
        <f t="shared" si="46"/>
        <v>46.099999999999994</v>
      </c>
      <c r="G32" s="152">
        <v>2</v>
      </c>
      <c r="H32" s="154">
        <f>+H31</f>
        <v>47</v>
      </c>
      <c r="I32" s="154">
        <f>+I31</f>
        <v>80</v>
      </c>
      <c r="J32" s="155">
        <f t="shared" si="7"/>
        <v>-1.1250000000000071E-2</v>
      </c>
      <c r="K32" s="154">
        <f>+K31</f>
        <v>158</v>
      </c>
      <c r="L32" s="153">
        <f t="shared" si="8"/>
        <v>5.1920402377148429</v>
      </c>
      <c r="M32" s="156">
        <f t="shared" si="9"/>
        <v>5.1920402377148428E-3</v>
      </c>
      <c r="N32" s="156">
        <f t="shared" si="32"/>
        <v>0</v>
      </c>
      <c r="O32" s="156">
        <f t="shared" si="1"/>
        <v>0</v>
      </c>
      <c r="P32" s="157">
        <f t="shared" si="10"/>
        <v>0</v>
      </c>
      <c r="Q32" s="113" t="str">
        <f>IF(O32&gt;0,VLOOKUP(P32,'$ alcantarillado'!$I$5:$L$22,4,FALSE),"0")</f>
        <v>0</v>
      </c>
      <c r="R32" s="160" t="str">
        <f t="shared" si="2"/>
        <v/>
      </c>
      <c r="S32" s="146">
        <f t="shared" si="26"/>
        <v>0</v>
      </c>
      <c r="T32" s="145">
        <f>+IF(S32&gt;$B$13,VLOOKUP(P32,'$ alcantarillado'!$I$6:$N$22,5),P32)</f>
        <v>0</v>
      </c>
      <c r="U32" s="113" t="str">
        <f>IF(O32&gt;0,VLOOKUP(T32,'$ alcantarillado'!$I$5:$L$22,4),"0")</f>
        <v>0</v>
      </c>
      <c r="V32" s="113" t="str">
        <f t="shared" si="33"/>
        <v/>
      </c>
      <c r="W32" s="146">
        <f t="shared" si="4"/>
        <v>0</v>
      </c>
      <c r="X32" s="146" t="str">
        <f t="shared" si="35"/>
        <v/>
      </c>
      <c r="Y32" s="113" t="str">
        <f>IF(T32&gt;0,(VLOOKUP($W32,Relaciones!$A$4:$D$108,2)),"")</f>
        <v/>
      </c>
      <c r="Z32" s="146" t="str">
        <f t="shared" si="36"/>
        <v/>
      </c>
      <c r="AA32" s="146" t="str">
        <f t="shared" si="37"/>
        <v/>
      </c>
      <c r="AB32" s="147" t="str">
        <f t="shared" si="38"/>
        <v/>
      </c>
      <c r="AC32" s="147" t="str">
        <f t="shared" si="39"/>
        <v/>
      </c>
      <c r="AD32" s="147" t="str">
        <f t="shared" si="40"/>
        <v/>
      </c>
      <c r="AE32" s="148">
        <f t="shared" si="41"/>
        <v>0</v>
      </c>
      <c r="AF32" s="148">
        <f t="shared" si="42"/>
        <v>0</v>
      </c>
      <c r="AG32" s="148">
        <f t="shared" si="43"/>
        <v>0</v>
      </c>
      <c r="AH32" s="148">
        <f t="shared" si="44"/>
        <v>0</v>
      </c>
      <c r="AI32" s="147">
        <f t="shared" si="45"/>
        <v>0</v>
      </c>
      <c r="AJ32" s="158">
        <f>IF(AI32&gt;0,I32*VLOOKUP(T32,'$ alcantarillado'!$I$6:$K$22,3),0)</f>
        <v>0</v>
      </c>
      <c r="AK32" s="158">
        <f t="shared" si="5"/>
        <v>0</v>
      </c>
      <c r="AL32" s="158">
        <f t="shared" si="6"/>
        <v>0</v>
      </c>
      <c r="AM32" s="158">
        <f t="shared" si="21"/>
        <v>0</v>
      </c>
      <c r="AN32" s="154">
        <v>0</v>
      </c>
      <c r="AO32" s="159" t="str">
        <f t="shared" si="34"/>
        <v/>
      </c>
      <c r="AP32" s="220"/>
      <c r="AQ32" s="154"/>
      <c r="AR32" s="166"/>
    </row>
    <row r="33" spans="1:44" x14ac:dyDescent="0.25">
      <c r="A33" s="230"/>
      <c r="B33" s="230"/>
      <c r="C33" s="230"/>
      <c r="D33" s="230"/>
      <c r="E33" s="127">
        <v>1</v>
      </c>
      <c r="F33" s="132">
        <f>+$D$23-$B$5</f>
        <v>48.099999999999994</v>
      </c>
      <c r="G33" s="127">
        <v>3</v>
      </c>
      <c r="H33" s="129">
        <f>+H28-$B$4</f>
        <v>46.5</v>
      </c>
      <c r="I33" s="129">
        <f t="shared" ref="I33:K33" si="49">+I32</f>
        <v>80</v>
      </c>
      <c r="J33" s="143">
        <f>+(F33-H33)/I33</f>
        <v>1.9999999999999928E-2</v>
      </c>
      <c r="K33" s="129">
        <f t="shared" si="49"/>
        <v>158</v>
      </c>
      <c r="L33" s="132">
        <f>IF(K33&lt;38,K33^0.3686*0.7401,IF(K33&lt;235,K33^0.4193*0.6215,IF(K33&lt;932,K33*0.0092+4.2493,K33*0.0069+6.7345)))</f>
        <v>5.1920402377148429</v>
      </c>
      <c r="M33" s="133">
        <f>+L33/1000</f>
        <v>5.1920402377148428E-3</v>
      </c>
      <c r="N33" s="133">
        <f t="shared" si="32"/>
        <v>7.9737926243385646E-2</v>
      </c>
      <c r="O33" s="133">
        <f t="shared" si="1"/>
        <v>3.1392884347789627</v>
      </c>
      <c r="P33" s="134">
        <f t="shared" si="10"/>
        <v>6</v>
      </c>
      <c r="Q33" s="135">
        <f>IF(O33&gt;0,VLOOKUP(P33,'$ alcantarillado'!$I$5:$L$22,4,FALSE),"0")</f>
        <v>0.14499999999999999</v>
      </c>
      <c r="R33" s="135">
        <f t="shared" si="2"/>
        <v>2.5578764155795759E-2</v>
      </c>
      <c r="S33" s="136">
        <f t="shared" si="26"/>
        <v>0.20298245083660171</v>
      </c>
      <c r="T33" s="134">
        <f>+IF(S33&gt;$B$13,VLOOKUP(P33,'$ alcantarillado'!$I$6:$N$22,5),P33)</f>
        <v>6</v>
      </c>
      <c r="U33" s="135">
        <f>IF(O33&gt;0,VLOOKUP(T33,'$ alcantarillado'!$I$5:$L$22,4),"0")</f>
        <v>0.14499999999999999</v>
      </c>
      <c r="V33" s="135">
        <f t="shared" si="33"/>
        <v>2.5578764155795759E-2</v>
      </c>
      <c r="W33" s="136">
        <f t="shared" si="4"/>
        <v>0.20298245083660171</v>
      </c>
      <c r="X33" s="136">
        <f>IF(T33&gt;0,4*V33/(PI()*(U33)^2),"")</f>
        <v>1.5490080394108676</v>
      </c>
      <c r="Y33" s="135">
        <f>IF(T33&gt;0,(VLOOKUP($W33,Relaciones!$A$4:$D$108,2)),"")</f>
        <v>0.65600000000000003</v>
      </c>
      <c r="Z33" s="136">
        <f>IF(T33&gt;0,Y33*X33,"")</f>
        <v>1.0161492738535292</v>
      </c>
      <c r="AA33" s="136">
        <f>IF(T33&gt;0,250*U33*J33,"")</f>
        <v>0.72499999999999742</v>
      </c>
      <c r="AB33" s="137" t="str">
        <f>IF(T33&gt;0,IF(W33&lt;=$B$13,"OK","No Cumple"),"")</f>
        <v>OK</v>
      </c>
      <c r="AC33" s="137" t="str">
        <f>IF(T33&gt;0,IF(Z33&gt;=$B$12,"OK","No Cumple"),"")</f>
        <v>OK</v>
      </c>
      <c r="AD33" s="137" t="str">
        <f>IF(T33&gt;0,IF(AA33&gt;$B$14,"OK","No Cumple"),"")</f>
        <v>OK</v>
      </c>
      <c r="AE33" s="138">
        <f>+IF(AB33="OK",1,0)</f>
        <v>1</v>
      </c>
      <c r="AF33" s="138">
        <f>+IF(AC33="OK",1,0)</f>
        <v>1</v>
      </c>
      <c r="AG33" s="138">
        <f>+IF(AD33="OK",1,0)</f>
        <v>1</v>
      </c>
      <c r="AH33" s="138">
        <f>SUM(AE33:AG33)</f>
        <v>3</v>
      </c>
      <c r="AI33" s="137">
        <f>IF(AH33=3,2*$B$7+U33,0)</f>
        <v>0.64500000000000002</v>
      </c>
      <c r="AJ33" s="139">
        <f>IF(AI33&gt;0,I33*VLOOKUP(T33,'$ alcantarillado'!$I$6:$K$22,3),0)</f>
        <v>1912173.3333333335</v>
      </c>
      <c r="AK33" s="139">
        <f t="shared" si="5"/>
        <v>2570454.0000000042</v>
      </c>
      <c r="AL33" s="139">
        <f t="shared" si="6"/>
        <v>938784.44500000204</v>
      </c>
      <c r="AM33" s="139">
        <f>IF(AJ33&gt;0,AJ33+AK33+AL33,0)</f>
        <v>5421411.7783333398</v>
      </c>
      <c r="AN33" s="129">
        <v>0</v>
      </c>
      <c r="AO33" s="140">
        <f t="shared" si="34"/>
        <v>5421411.7783333398</v>
      </c>
      <c r="AP33" s="232">
        <f>+MIN(AO33:AO37)</f>
        <v>5421411.7783333398</v>
      </c>
      <c r="AQ33" s="129"/>
      <c r="AR33" s="163"/>
    </row>
    <row r="34" spans="1:44" x14ac:dyDescent="0.25">
      <c r="A34" s="230"/>
      <c r="B34" s="230"/>
      <c r="C34" s="230"/>
      <c r="D34" s="230"/>
      <c r="E34" s="141">
        <v>2</v>
      </c>
      <c r="F34" s="128">
        <f>+F33-$B$4</f>
        <v>47.599999999999994</v>
      </c>
      <c r="G34" s="141">
        <v>3</v>
      </c>
      <c r="H34" s="142">
        <f>+H33</f>
        <v>46.5</v>
      </c>
      <c r="I34" s="142">
        <f>+I33</f>
        <v>80</v>
      </c>
      <c r="J34" s="143">
        <f t="shared" si="7"/>
        <v>1.3749999999999929E-2</v>
      </c>
      <c r="K34" s="142">
        <f>+K33</f>
        <v>158</v>
      </c>
      <c r="L34" s="128">
        <f t="shared" si="8"/>
        <v>5.1920402377148429</v>
      </c>
      <c r="M34" s="144">
        <f t="shared" si="9"/>
        <v>5.1920402377148428E-3</v>
      </c>
      <c r="N34" s="144">
        <f t="shared" si="32"/>
        <v>8.554139038768109E-2</v>
      </c>
      <c r="O34" s="144">
        <f t="shared" si="1"/>
        <v>3.3677712751055546</v>
      </c>
      <c r="P34" s="145">
        <f t="shared" si="10"/>
        <v>6</v>
      </c>
      <c r="Q34" s="113">
        <f>IF(O34&gt;0,VLOOKUP(P34,'$ alcantarillado'!$I$5:$L$22,4,FALSE),"0")</f>
        <v>0.14499999999999999</v>
      </c>
      <c r="R34" s="113">
        <f t="shared" si="2"/>
        <v>2.1208790826441566E-2</v>
      </c>
      <c r="S34" s="146">
        <f t="shared" si="26"/>
        <v>0.24480604670973452</v>
      </c>
      <c r="T34" s="145">
        <f>+IF(S34&gt;$B$13,VLOOKUP(P34,'$ alcantarillado'!$I$6:$N$22,5),P34)</f>
        <v>6</v>
      </c>
      <c r="U34" s="113">
        <f>IF(O34&gt;0,VLOOKUP(T34,'$ alcantarillado'!$I$5:$L$22,4),"0")</f>
        <v>0.14499999999999999</v>
      </c>
      <c r="V34" s="113">
        <f t="shared" si="33"/>
        <v>2.1208790826441566E-2</v>
      </c>
      <c r="W34" s="146">
        <f t="shared" si="4"/>
        <v>0.24480604670973452</v>
      </c>
      <c r="X34" s="146">
        <f t="shared" ref="X34:X37" si="50">IF(T34&gt;0,4*V34/(PI()*(U34)^2),"")</f>
        <v>1.2843696159924736</v>
      </c>
      <c r="Y34" s="113">
        <f>IF(T34&gt;0,(VLOOKUP($W34,Relaciones!$A$4:$D$108,2)),"")</f>
        <v>0.68700000000000006</v>
      </c>
      <c r="Z34" s="146">
        <f t="shared" ref="Z34:Z37" si="51">IF(T34&gt;0,Y34*X34,"")</f>
        <v>0.8823619261868294</v>
      </c>
      <c r="AA34" s="146">
        <f t="shared" ref="AA34:AA37" si="52">IF(T34&gt;0,250*U34*J34,"")</f>
        <v>0.49843749999999742</v>
      </c>
      <c r="AB34" s="147" t="str">
        <f t="shared" ref="AB34:AB37" si="53">IF(T34&gt;0,IF(W34&lt;=$B$13,"OK","No Cumple"),"")</f>
        <v>OK</v>
      </c>
      <c r="AC34" s="147" t="str">
        <f t="shared" ref="AC34:AC37" si="54">IF(T34&gt;0,IF(Z34&gt;=$B$12,"OK","No Cumple"),"")</f>
        <v>OK</v>
      </c>
      <c r="AD34" s="147" t="str">
        <f t="shared" ref="AD34:AD37" si="55">IF(T34&gt;0,IF(AA34&gt;$B$14,"OK","No Cumple"),"")</f>
        <v>OK</v>
      </c>
      <c r="AE34" s="148">
        <f t="shared" ref="AE34:AE37" si="56">+IF(AB34="OK",1,0)</f>
        <v>1</v>
      </c>
      <c r="AF34" s="148">
        <f t="shared" ref="AF34:AF37" si="57">+IF(AC34="OK",1,0)</f>
        <v>1</v>
      </c>
      <c r="AG34" s="148">
        <f t="shared" ref="AG34:AG37" si="58">+IF(AD34="OK",1,0)</f>
        <v>1</v>
      </c>
      <c r="AH34" s="148">
        <f t="shared" ref="AH34:AH37" si="59">SUM(AE34:AG34)</f>
        <v>3</v>
      </c>
      <c r="AI34" s="147">
        <f t="shared" ref="AI34:AI37" si="60">IF(AH34=3,2*$B$7+U34,0)</f>
        <v>0.64500000000000002</v>
      </c>
      <c r="AJ34" s="149">
        <f>IF(AI34&gt;0,I34*VLOOKUP(T34,'$ alcantarillado'!$I$6:$K$22,3),0)</f>
        <v>1912173.3333333335</v>
      </c>
      <c r="AK34" s="149">
        <f t="shared" si="5"/>
        <v>3034854.0000000042</v>
      </c>
      <c r="AL34" s="149">
        <f t="shared" si="6"/>
        <v>1287774.9450000019</v>
      </c>
      <c r="AM34" s="149">
        <f t="shared" si="21"/>
        <v>6234802.2783333398</v>
      </c>
      <c r="AN34" s="142">
        <v>0</v>
      </c>
      <c r="AO34" s="150">
        <f t="shared" si="34"/>
        <v>6234802.2783333398</v>
      </c>
      <c r="AP34" s="218"/>
      <c r="AQ34" s="142"/>
      <c r="AR34" s="165"/>
    </row>
    <row r="35" spans="1:44" x14ac:dyDescent="0.25">
      <c r="A35" s="230"/>
      <c r="B35" s="230"/>
      <c r="C35" s="230"/>
      <c r="D35" s="230"/>
      <c r="E35" s="151">
        <v>3</v>
      </c>
      <c r="F35" s="128">
        <f t="shared" ref="F35:F37" si="61">+F34-$B$4</f>
        <v>47.099999999999994</v>
      </c>
      <c r="G35" s="141">
        <v>3</v>
      </c>
      <c r="H35" s="142">
        <f t="shared" ref="H35:I36" si="62">+H34</f>
        <v>46.5</v>
      </c>
      <c r="I35" s="142">
        <f t="shared" si="62"/>
        <v>80</v>
      </c>
      <c r="J35" s="143">
        <f t="shared" si="7"/>
        <v>7.4999999999999286E-3</v>
      </c>
      <c r="K35" s="142">
        <f t="shared" ref="K35:K36" si="63">+K34</f>
        <v>158</v>
      </c>
      <c r="L35" s="128">
        <f t="shared" si="8"/>
        <v>5.1920402377148429</v>
      </c>
      <c r="M35" s="144">
        <f t="shared" si="9"/>
        <v>5.1920402377148428E-3</v>
      </c>
      <c r="N35" s="144">
        <f t="shared" si="32"/>
        <v>9.58371905595157E-2</v>
      </c>
      <c r="O35" s="144">
        <f t="shared" si="1"/>
        <v>3.7731177385636103</v>
      </c>
      <c r="P35" s="145">
        <f t="shared" si="10"/>
        <v>6</v>
      </c>
      <c r="Q35" s="113">
        <f>IF(O35&gt;0,VLOOKUP(P35,'$ alcantarillado'!$I$5:$L$22,4,FALSE),"0")</f>
        <v>0.14499999999999999</v>
      </c>
      <c r="R35" s="113">
        <f t="shared" si="2"/>
        <v>1.5663730108172885E-2</v>
      </c>
      <c r="S35" s="146">
        <f t="shared" si="26"/>
        <v>0.33146895419283212</v>
      </c>
      <c r="T35" s="145">
        <f>+IF(S35&gt;$B$13,VLOOKUP(P35,'$ alcantarillado'!$I$6:$N$22,5),P35)</f>
        <v>6</v>
      </c>
      <c r="U35" s="113">
        <f>IF(O35&gt;0,VLOOKUP(T35,'$ alcantarillado'!$I$5:$L$22,4),"0")</f>
        <v>0.14499999999999999</v>
      </c>
      <c r="V35" s="113">
        <f t="shared" si="33"/>
        <v>1.5663730108172885E-2</v>
      </c>
      <c r="W35" s="146">
        <f t="shared" si="4"/>
        <v>0.33146895419283212</v>
      </c>
      <c r="X35" s="146">
        <f t="shared" si="50"/>
        <v>0.9485698260063975</v>
      </c>
      <c r="Y35" s="113">
        <f>IF(T35&gt;0,(VLOOKUP($W35,Relaciones!$A$4:$D$108,2)),"")</f>
        <v>0.75</v>
      </c>
      <c r="Z35" s="146">
        <f t="shared" si="51"/>
        <v>0.71142736950479812</v>
      </c>
      <c r="AA35" s="146">
        <f t="shared" si="52"/>
        <v>0.27187499999999742</v>
      </c>
      <c r="AB35" s="147" t="str">
        <f t="shared" si="53"/>
        <v>OK</v>
      </c>
      <c r="AC35" s="147" t="str">
        <f t="shared" si="54"/>
        <v>OK</v>
      </c>
      <c r="AD35" s="147" t="str">
        <f t="shared" si="55"/>
        <v>OK</v>
      </c>
      <c r="AE35" s="148">
        <f t="shared" si="56"/>
        <v>1</v>
      </c>
      <c r="AF35" s="148">
        <f t="shared" si="57"/>
        <v>1</v>
      </c>
      <c r="AG35" s="148">
        <f t="shared" si="58"/>
        <v>1</v>
      </c>
      <c r="AH35" s="148">
        <f t="shared" si="59"/>
        <v>3</v>
      </c>
      <c r="AI35" s="147">
        <f t="shared" si="60"/>
        <v>0.64500000000000002</v>
      </c>
      <c r="AJ35" s="149">
        <f>IF(AI35&gt;0,I35*VLOOKUP(T35,'$ alcantarillado'!$I$6:$K$22,3),0)</f>
        <v>1912173.3333333335</v>
      </c>
      <c r="AK35" s="149">
        <f t="shared" si="5"/>
        <v>3499254.0000000047</v>
      </c>
      <c r="AL35" s="149">
        <f t="shared" si="6"/>
        <v>1636765.4450000019</v>
      </c>
      <c r="AM35" s="149">
        <f t="shared" si="21"/>
        <v>7048192.7783333398</v>
      </c>
      <c r="AN35" s="142">
        <v>0</v>
      </c>
      <c r="AO35" s="150">
        <f t="shared" si="34"/>
        <v>7048192.7783333398</v>
      </c>
      <c r="AP35" s="219"/>
      <c r="AQ35" s="142">
        <v>1</v>
      </c>
      <c r="AR35" s="165">
        <v>3</v>
      </c>
    </row>
    <row r="36" spans="1:44" x14ac:dyDescent="0.25">
      <c r="A36" s="230"/>
      <c r="B36" s="230"/>
      <c r="C36" s="230"/>
      <c r="D36" s="230"/>
      <c r="E36" s="151">
        <v>4</v>
      </c>
      <c r="F36" s="128">
        <f t="shared" si="61"/>
        <v>46.599999999999994</v>
      </c>
      <c r="G36" s="141">
        <v>3</v>
      </c>
      <c r="H36" s="142">
        <f t="shared" si="62"/>
        <v>46.5</v>
      </c>
      <c r="I36" s="142">
        <f t="shared" si="62"/>
        <v>80</v>
      </c>
      <c r="J36" s="143">
        <f>+(F36-H36)/I36</f>
        <v>1.2499999999999289E-3</v>
      </c>
      <c r="K36" s="142">
        <f t="shared" si="63"/>
        <v>158</v>
      </c>
      <c r="L36" s="128">
        <f t="shared" si="8"/>
        <v>5.1920402377148429</v>
      </c>
      <c r="M36" s="144">
        <f t="shared" si="9"/>
        <v>5.1920402377148428E-3</v>
      </c>
      <c r="N36" s="144">
        <f t="shared" si="32"/>
        <v>0.13410267267565754</v>
      </c>
      <c r="O36" s="144">
        <f t="shared" si="1"/>
        <v>5.2796327825062024</v>
      </c>
      <c r="P36" s="145">
        <f t="shared" si="10"/>
        <v>6</v>
      </c>
      <c r="Q36" s="113">
        <f>IF(O36&gt;0,VLOOKUP(P36,'$ alcantarillado'!$I$5:$L$22,4,FALSE),"0")</f>
        <v>0.14499999999999999</v>
      </c>
      <c r="R36" s="113">
        <f t="shared" si="2"/>
        <v>6.3946910389487679E-3</v>
      </c>
      <c r="S36" s="146">
        <f t="shared" si="26"/>
        <v>0.81192980334642872</v>
      </c>
      <c r="T36" s="145">
        <f>+IF(S36&gt;$B$13,VLOOKUP(P36,'$ alcantarillado'!$I$6:$N$22,5),P36)</f>
        <v>6</v>
      </c>
      <c r="U36" s="113">
        <f>IF(O36&gt;0,VLOOKUP(T36,'$ alcantarillado'!$I$5:$L$22,4),"0")</f>
        <v>0.14499999999999999</v>
      </c>
      <c r="V36" s="113">
        <f t="shared" si="33"/>
        <v>6.3946910389487679E-3</v>
      </c>
      <c r="W36" s="146">
        <f t="shared" si="4"/>
        <v>0.81192980334642872</v>
      </c>
      <c r="X36" s="146">
        <f t="shared" si="50"/>
        <v>0.38725200985270652</v>
      </c>
      <c r="Y36" s="113">
        <f>IF(T36&gt;0,(VLOOKUP($W36,Relaciones!$A$4:$D$108,2)),"")</f>
        <v>0.98699999999999999</v>
      </c>
      <c r="Z36" s="146">
        <f t="shared" si="51"/>
        <v>0.38221773372462131</v>
      </c>
      <c r="AA36" s="146">
        <f t="shared" si="52"/>
        <v>4.5312499999997424E-2</v>
      </c>
      <c r="AB36" s="147" t="str">
        <f t="shared" si="53"/>
        <v>OK</v>
      </c>
      <c r="AC36" s="147" t="str">
        <f t="shared" si="54"/>
        <v>No Cumple</v>
      </c>
      <c r="AD36" s="147" t="str">
        <f t="shared" si="55"/>
        <v>No Cumple</v>
      </c>
      <c r="AE36" s="148">
        <f t="shared" si="56"/>
        <v>1</v>
      </c>
      <c r="AF36" s="148">
        <f t="shared" si="57"/>
        <v>0</v>
      </c>
      <c r="AG36" s="148">
        <f t="shared" si="58"/>
        <v>0</v>
      </c>
      <c r="AH36" s="148">
        <f t="shared" si="59"/>
        <v>1</v>
      </c>
      <c r="AI36" s="147">
        <f t="shared" si="60"/>
        <v>0</v>
      </c>
      <c r="AJ36" s="149">
        <f>IF(AI36&gt;0,I36*VLOOKUP(T36,'$ alcantarillado'!$I$6:$K$22,3),0)</f>
        <v>0</v>
      </c>
      <c r="AK36" s="149">
        <f t="shared" si="5"/>
        <v>0</v>
      </c>
      <c r="AL36" s="149">
        <f t="shared" si="6"/>
        <v>0</v>
      </c>
      <c r="AM36" s="149">
        <f t="shared" si="21"/>
        <v>0</v>
      </c>
      <c r="AN36" s="142">
        <v>0</v>
      </c>
      <c r="AO36" s="150" t="str">
        <f t="shared" si="34"/>
        <v/>
      </c>
      <c r="AP36" s="219"/>
      <c r="AQ36" s="142"/>
      <c r="AR36" s="165"/>
    </row>
    <row r="37" spans="1:44" ht="15.75" thickBot="1" x14ac:dyDescent="0.3">
      <c r="A37" s="230"/>
      <c r="B37" s="230"/>
      <c r="C37" s="230"/>
      <c r="D37" s="230"/>
      <c r="E37" s="152">
        <v>5</v>
      </c>
      <c r="F37" s="153">
        <f t="shared" si="61"/>
        <v>46.099999999999994</v>
      </c>
      <c r="G37" s="152">
        <v>3</v>
      </c>
      <c r="H37" s="154">
        <f>+H36</f>
        <v>46.5</v>
      </c>
      <c r="I37" s="154">
        <f>+I36</f>
        <v>80</v>
      </c>
      <c r="J37" s="155">
        <f t="shared" si="7"/>
        <v>-5.0000000000000712E-3</v>
      </c>
      <c r="K37" s="154">
        <f>+K36</f>
        <v>158</v>
      </c>
      <c r="L37" s="153">
        <f t="shared" si="8"/>
        <v>5.1920402377148429</v>
      </c>
      <c r="M37" s="156">
        <f t="shared" si="9"/>
        <v>5.1920402377148428E-3</v>
      </c>
      <c r="N37" s="156">
        <f t="shared" si="32"/>
        <v>0</v>
      </c>
      <c r="O37" s="156">
        <f t="shared" si="1"/>
        <v>0</v>
      </c>
      <c r="P37" s="157">
        <f t="shared" si="10"/>
        <v>0</v>
      </c>
      <c r="Q37" s="113" t="str">
        <f>IF(O37&gt;0,VLOOKUP(P37,'$ alcantarillado'!$I$5:$L$22,4,FALSE),"0")</f>
        <v>0</v>
      </c>
      <c r="R37" s="160" t="str">
        <f t="shared" si="2"/>
        <v/>
      </c>
      <c r="S37" s="146">
        <f t="shared" si="26"/>
        <v>0</v>
      </c>
      <c r="T37" s="145">
        <f>+IF(S37&gt;$B$13,VLOOKUP(P37,'$ alcantarillado'!$I$6:$N$22,5),P37)</f>
        <v>0</v>
      </c>
      <c r="U37" s="113" t="str">
        <f>IF(O37&gt;0,VLOOKUP(T37,'$ alcantarillado'!$I$5:$L$22,4),"0")</f>
        <v>0</v>
      </c>
      <c r="V37" s="113" t="str">
        <f t="shared" si="33"/>
        <v/>
      </c>
      <c r="W37" s="146">
        <f t="shared" si="4"/>
        <v>0</v>
      </c>
      <c r="X37" s="146" t="str">
        <f t="shared" si="50"/>
        <v/>
      </c>
      <c r="Y37" s="113" t="str">
        <f>IF(T37&gt;0,(VLOOKUP($W37,Relaciones!$A$4:$D$108,2)),"")</f>
        <v/>
      </c>
      <c r="Z37" s="146" t="str">
        <f t="shared" si="51"/>
        <v/>
      </c>
      <c r="AA37" s="146" t="str">
        <f t="shared" si="52"/>
        <v/>
      </c>
      <c r="AB37" s="147" t="str">
        <f t="shared" si="53"/>
        <v/>
      </c>
      <c r="AC37" s="147" t="str">
        <f t="shared" si="54"/>
        <v/>
      </c>
      <c r="AD37" s="147" t="str">
        <f t="shared" si="55"/>
        <v/>
      </c>
      <c r="AE37" s="148">
        <f t="shared" si="56"/>
        <v>0</v>
      </c>
      <c r="AF37" s="148">
        <f t="shared" si="57"/>
        <v>0</v>
      </c>
      <c r="AG37" s="148">
        <f t="shared" si="58"/>
        <v>0</v>
      </c>
      <c r="AH37" s="148">
        <f t="shared" si="59"/>
        <v>0</v>
      </c>
      <c r="AI37" s="147">
        <f t="shared" si="60"/>
        <v>0</v>
      </c>
      <c r="AJ37" s="158">
        <f>IF(AI37&gt;0,I37*VLOOKUP(T37,'$ alcantarillado'!$I$6:$K$22,3),0)</f>
        <v>0</v>
      </c>
      <c r="AK37" s="158">
        <f t="shared" si="5"/>
        <v>0</v>
      </c>
      <c r="AL37" s="158">
        <f t="shared" si="6"/>
        <v>0</v>
      </c>
      <c r="AM37" s="158">
        <f t="shared" si="21"/>
        <v>0</v>
      </c>
      <c r="AN37" s="154">
        <v>0</v>
      </c>
      <c r="AO37" s="159" t="str">
        <f t="shared" si="34"/>
        <v/>
      </c>
      <c r="AP37" s="220"/>
      <c r="AQ37" s="154"/>
      <c r="AR37" s="166"/>
    </row>
    <row r="38" spans="1:44" x14ac:dyDescent="0.25">
      <c r="A38" s="230"/>
      <c r="B38" s="230"/>
      <c r="C38" s="230"/>
      <c r="D38" s="230"/>
      <c r="E38" s="127">
        <v>1</v>
      </c>
      <c r="F38" s="132">
        <f>+$D$23-$B$5</f>
        <v>48.099999999999994</v>
      </c>
      <c r="G38" s="127">
        <v>4</v>
      </c>
      <c r="H38" s="129">
        <f>+H33-$B$4</f>
        <v>46</v>
      </c>
      <c r="I38" s="142">
        <f>+I33</f>
        <v>80</v>
      </c>
      <c r="J38" s="143">
        <f>+(F38-H38)/I38</f>
        <v>2.624999999999993E-2</v>
      </c>
      <c r="K38" s="142">
        <f>+K33</f>
        <v>158</v>
      </c>
      <c r="L38" s="132">
        <f>IF(K38&lt;38,K38^0.3686*0.7401,IF(K38&lt;235,K38^0.4193*0.6215,IF(K38&lt;932,K38*0.0092+4.2493,K38*0.0069+6.7345)))</f>
        <v>5.1920402377148429</v>
      </c>
      <c r="M38" s="133">
        <f>+L38/1000</f>
        <v>5.1920402377148428E-3</v>
      </c>
      <c r="N38" s="133">
        <f t="shared" si="32"/>
        <v>7.5774192283666539E-2</v>
      </c>
      <c r="O38" s="133">
        <f t="shared" si="1"/>
        <v>2.983235916679785</v>
      </c>
      <c r="P38" s="134">
        <f t="shared" si="10"/>
        <v>6</v>
      </c>
      <c r="Q38" s="135">
        <f>IF(O38&gt;0,VLOOKUP(P38,'$ alcantarillado'!$I$5:$L$22,4,FALSE),"0")</f>
        <v>0.14499999999999999</v>
      </c>
      <c r="R38" s="135">
        <f t="shared" si="2"/>
        <v>2.9304155731839334E-2</v>
      </c>
      <c r="S38" s="136">
        <f t="shared" si="26"/>
        <v>0.17717760870597701</v>
      </c>
      <c r="T38" s="134">
        <f>+IF(S38&gt;$B$13,VLOOKUP(P38,'$ alcantarillado'!$I$6:$N$22,5),P38)</f>
        <v>6</v>
      </c>
      <c r="U38" s="135">
        <f>IF(O38&gt;0,VLOOKUP(T38,'$ alcantarillado'!$I$5:$L$22,4),"0")</f>
        <v>0.14499999999999999</v>
      </c>
      <c r="V38" s="135">
        <f t="shared" si="33"/>
        <v>2.9304155731839334E-2</v>
      </c>
      <c r="W38" s="136">
        <f t="shared" si="4"/>
        <v>0.17717760870597701</v>
      </c>
      <c r="X38" s="136">
        <f>IF(T38&gt;0,4*V38/(PI()*(U38)^2),"")</f>
        <v>1.774611648173861</v>
      </c>
      <c r="Y38" s="135">
        <f>IF(T38&gt;0,(VLOOKUP($W38,Relaciones!$A$4:$D$108,2)),"")</f>
        <v>0.624</v>
      </c>
      <c r="Z38" s="136">
        <f>IF(T38&gt;0,Y38*X38,"")</f>
        <v>1.1073576684604893</v>
      </c>
      <c r="AA38" s="136">
        <f>IF(T38&gt;0,250*U38*J38,"")</f>
        <v>0.95156249999999742</v>
      </c>
      <c r="AB38" s="137" t="str">
        <f>IF(T38&gt;0,IF(W38&lt;=$B$13,"OK","No Cumple"),"")</f>
        <v>OK</v>
      </c>
      <c r="AC38" s="137" t="str">
        <f>IF(T38&gt;0,IF(Z38&gt;=$B$12,"OK","No Cumple"),"")</f>
        <v>OK</v>
      </c>
      <c r="AD38" s="137" t="str">
        <f>IF(T38&gt;0,IF(AA38&gt;$B$14,"OK","No Cumple"),"")</f>
        <v>OK</v>
      </c>
      <c r="AE38" s="138">
        <f>+IF(AB38="OK",1,0)</f>
        <v>1</v>
      </c>
      <c r="AF38" s="138">
        <f>+IF(AC38="OK",1,0)</f>
        <v>1</v>
      </c>
      <c r="AG38" s="138">
        <f>+IF(AD38="OK",1,0)</f>
        <v>1</v>
      </c>
      <c r="AH38" s="138">
        <f>SUM(AE38:AG38)</f>
        <v>3</v>
      </c>
      <c r="AI38" s="137">
        <f>IF(AH38=3,2*$B$7+U38,0)</f>
        <v>0.64500000000000002</v>
      </c>
      <c r="AJ38" s="139">
        <f>IF(AI38&gt;0,I38*VLOOKUP(T38,'$ alcantarillado'!$I$6:$K$22,3),0)</f>
        <v>1912173.3333333335</v>
      </c>
      <c r="AK38" s="139">
        <f t="shared" si="5"/>
        <v>2802654.0000000047</v>
      </c>
      <c r="AL38" s="139">
        <f t="shared" si="6"/>
        <v>938784.44500000204</v>
      </c>
      <c r="AM38" s="139">
        <f>IF(AJ38&gt;0,AJ38+AK38+AL38,0)</f>
        <v>5653611.7783333398</v>
      </c>
      <c r="AN38" s="129">
        <v>0</v>
      </c>
      <c r="AO38" s="140">
        <f t="shared" si="34"/>
        <v>5653611.7783333398</v>
      </c>
      <c r="AP38" s="232">
        <f>+MIN(AO38:AO42)</f>
        <v>5653611.7783333398</v>
      </c>
      <c r="AQ38" s="129"/>
      <c r="AR38" s="163"/>
    </row>
    <row r="39" spans="1:44" x14ac:dyDescent="0.25">
      <c r="A39" s="230"/>
      <c r="B39" s="230"/>
      <c r="C39" s="230"/>
      <c r="D39" s="230"/>
      <c r="E39" s="141">
        <v>2</v>
      </c>
      <c r="F39" s="128">
        <f>+F38-$B$4</f>
        <v>47.599999999999994</v>
      </c>
      <c r="G39" s="141">
        <v>4</v>
      </c>
      <c r="H39" s="142">
        <f>+H38</f>
        <v>46</v>
      </c>
      <c r="I39" s="142">
        <f>+I38</f>
        <v>80</v>
      </c>
      <c r="J39" s="143">
        <f t="shared" si="7"/>
        <v>1.9999999999999928E-2</v>
      </c>
      <c r="K39" s="142">
        <f>+K38</f>
        <v>158</v>
      </c>
      <c r="L39" s="128">
        <f t="shared" si="8"/>
        <v>5.1920402377148429</v>
      </c>
      <c r="M39" s="144">
        <f t="shared" si="9"/>
        <v>5.1920402377148428E-3</v>
      </c>
      <c r="N39" s="144">
        <f t="shared" si="32"/>
        <v>7.9737926243385646E-2</v>
      </c>
      <c r="O39" s="144">
        <f t="shared" si="1"/>
        <v>3.1392884347789627</v>
      </c>
      <c r="P39" s="145">
        <f t="shared" si="10"/>
        <v>6</v>
      </c>
      <c r="Q39" s="113">
        <f>IF(O39&gt;0,VLOOKUP(P39,'$ alcantarillado'!$I$5:$L$22,4,FALSE),"0")</f>
        <v>0.14499999999999999</v>
      </c>
      <c r="R39" s="113">
        <f t="shared" si="2"/>
        <v>2.5578764155795759E-2</v>
      </c>
      <c r="S39" s="146">
        <f t="shared" si="26"/>
        <v>0.20298245083660171</v>
      </c>
      <c r="T39" s="145">
        <f>+IF(S39&gt;$B$13,VLOOKUP(P39,'$ alcantarillado'!$I$6:$N$22,5),P39)</f>
        <v>6</v>
      </c>
      <c r="U39" s="113">
        <f>IF(O39&gt;0,VLOOKUP(T39,'$ alcantarillado'!$I$5:$L$22,4),"0")</f>
        <v>0.14499999999999999</v>
      </c>
      <c r="V39" s="113">
        <f t="shared" si="33"/>
        <v>2.5578764155795759E-2</v>
      </c>
      <c r="W39" s="146">
        <f t="shared" si="4"/>
        <v>0.20298245083660171</v>
      </c>
      <c r="X39" s="146">
        <f t="shared" ref="X39:X42" si="64">IF(T39&gt;0,4*V39/(PI()*(U39)^2),"")</f>
        <v>1.5490080394108676</v>
      </c>
      <c r="Y39" s="113">
        <f>IF(T39&gt;0,(VLOOKUP($W39,Relaciones!$A$4:$D$108,2)),"")</f>
        <v>0.65600000000000003</v>
      </c>
      <c r="Z39" s="146">
        <f t="shared" ref="Z39:Z42" si="65">IF(T39&gt;0,Y39*X39,"")</f>
        <v>1.0161492738535292</v>
      </c>
      <c r="AA39" s="146">
        <f t="shared" ref="AA39:AA42" si="66">IF(T39&gt;0,250*U39*J39,"")</f>
        <v>0.72499999999999742</v>
      </c>
      <c r="AB39" s="147" t="str">
        <f t="shared" ref="AB39:AB42" si="67">IF(T39&gt;0,IF(W39&lt;=$B$13,"OK","No Cumple"),"")</f>
        <v>OK</v>
      </c>
      <c r="AC39" s="147" t="str">
        <f t="shared" ref="AC39:AC42" si="68">IF(T39&gt;0,IF(Z39&gt;=$B$12,"OK","No Cumple"),"")</f>
        <v>OK</v>
      </c>
      <c r="AD39" s="147" t="str">
        <f t="shared" ref="AD39:AD42" si="69">IF(T39&gt;0,IF(AA39&gt;$B$14,"OK","No Cumple"),"")</f>
        <v>OK</v>
      </c>
      <c r="AE39" s="148">
        <f t="shared" ref="AE39:AE42" si="70">+IF(AB39="OK",1,0)</f>
        <v>1</v>
      </c>
      <c r="AF39" s="148">
        <f t="shared" ref="AF39:AF42" si="71">+IF(AC39="OK",1,0)</f>
        <v>1</v>
      </c>
      <c r="AG39" s="148">
        <f t="shared" ref="AG39:AG42" si="72">+IF(AD39="OK",1,0)</f>
        <v>1</v>
      </c>
      <c r="AH39" s="148">
        <f t="shared" ref="AH39:AH42" si="73">SUM(AE39:AG39)</f>
        <v>3</v>
      </c>
      <c r="AI39" s="147">
        <f t="shared" ref="AI39:AI42" si="74">IF(AH39=3,2*$B$7+U39,0)</f>
        <v>0.64500000000000002</v>
      </c>
      <c r="AJ39" s="149">
        <f>IF(AI39&gt;0,I39*VLOOKUP(T39,'$ alcantarillado'!$I$6:$K$22,3),0)</f>
        <v>1912173.3333333335</v>
      </c>
      <c r="AK39" s="149">
        <f t="shared" si="5"/>
        <v>3267054.0000000037</v>
      </c>
      <c r="AL39" s="149">
        <f t="shared" si="6"/>
        <v>1287774.9450000019</v>
      </c>
      <c r="AM39" s="149">
        <f t="shared" si="21"/>
        <v>6467002.2783333398</v>
      </c>
      <c r="AN39" s="142">
        <v>0</v>
      </c>
      <c r="AO39" s="150">
        <f t="shared" si="34"/>
        <v>6467002.2783333398</v>
      </c>
      <c r="AP39" s="218"/>
      <c r="AQ39" s="142"/>
      <c r="AR39" s="165"/>
    </row>
    <row r="40" spans="1:44" x14ac:dyDescent="0.25">
      <c r="A40" s="230"/>
      <c r="B40" s="230"/>
      <c r="C40" s="230"/>
      <c r="D40" s="230"/>
      <c r="E40" s="151">
        <v>3</v>
      </c>
      <c r="F40" s="128">
        <f t="shared" ref="F40:F42" si="75">+F39-$B$4</f>
        <v>47.099999999999994</v>
      </c>
      <c r="G40" s="151">
        <v>4</v>
      </c>
      <c r="H40" s="142">
        <f t="shared" ref="H40:I41" si="76">+H39</f>
        <v>46</v>
      </c>
      <c r="I40" s="142">
        <f t="shared" si="76"/>
        <v>80</v>
      </c>
      <c r="J40" s="143">
        <f t="shared" si="7"/>
        <v>1.3749999999999929E-2</v>
      </c>
      <c r="K40" s="142">
        <f t="shared" ref="K40:K41" si="77">+K39</f>
        <v>158</v>
      </c>
      <c r="L40" s="128">
        <f t="shared" si="8"/>
        <v>5.1920402377148429</v>
      </c>
      <c r="M40" s="144">
        <f t="shared" si="9"/>
        <v>5.1920402377148428E-3</v>
      </c>
      <c r="N40" s="144">
        <f t="shared" si="32"/>
        <v>8.554139038768109E-2</v>
      </c>
      <c r="O40" s="144">
        <f t="shared" si="1"/>
        <v>3.3677712751055546</v>
      </c>
      <c r="P40" s="145">
        <f t="shared" si="10"/>
        <v>6</v>
      </c>
      <c r="Q40" s="113">
        <f>IF(O40&gt;0,VLOOKUP(P40,'$ alcantarillado'!$I$5:$L$22,4,FALSE),"0")</f>
        <v>0.14499999999999999</v>
      </c>
      <c r="R40" s="113">
        <f t="shared" si="2"/>
        <v>2.1208790826441566E-2</v>
      </c>
      <c r="S40" s="146">
        <f t="shared" si="26"/>
        <v>0.24480604670973452</v>
      </c>
      <c r="T40" s="145">
        <f>+IF(S40&gt;$B$13,VLOOKUP(P40,'$ alcantarillado'!$I$6:$N$22,5),P40)</f>
        <v>6</v>
      </c>
      <c r="U40" s="113">
        <f>IF(O40&gt;0,VLOOKUP(T40,'$ alcantarillado'!$I$5:$L$22,4),"0")</f>
        <v>0.14499999999999999</v>
      </c>
      <c r="V40" s="113">
        <f t="shared" si="33"/>
        <v>2.1208790826441566E-2</v>
      </c>
      <c r="W40" s="146">
        <f t="shared" si="4"/>
        <v>0.24480604670973452</v>
      </c>
      <c r="X40" s="146">
        <f t="shared" si="64"/>
        <v>1.2843696159924736</v>
      </c>
      <c r="Y40" s="113">
        <f>IF(T40&gt;0,(VLOOKUP($W40,Relaciones!$A$4:$D$108,2)),"")</f>
        <v>0.68700000000000006</v>
      </c>
      <c r="Z40" s="146">
        <f t="shared" si="65"/>
        <v>0.8823619261868294</v>
      </c>
      <c r="AA40" s="146">
        <f t="shared" si="66"/>
        <v>0.49843749999999742</v>
      </c>
      <c r="AB40" s="147" t="str">
        <f t="shared" si="67"/>
        <v>OK</v>
      </c>
      <c r="AC40" s="147" t="str">
        <f t="shared" si="68"/>
        <v>OK</v>
      </c>
      <c r="AD40" s="147" t="str">
        <f t="shared" si="69"/>
        <v>OK</v>
      </c>
      <c r="AE40" s="148">
        <f t="shared" si="70"/>
        <v>1</v>
      </c>
      <c r="AF40" s="148">
        <f t="shared" si="71"/>
        <v>1</v>
      </c>
      <c r="AG40" s="148">
        <f t="shared" si="72"/>
        <v>1</v>
      </c>
      <c r="AH40" s="148">
        <f t="shared" si="73"/>
        <v>3</v>
      </c>
      <c r="AI40" s="147">
        <f t="shared" si="74"/>
        <v>0.64500000000000002</v>
      </c>
      <c r="AJ40" s="149">
        <f>IF(AI40&gt;0,I40*VLOOKUP(T40,'$ alcantarillado'!$I$6:$K$22,3),0)</f>
        <v>1912173.3333333335</v>
      </c>
      <c r="AK40" s="149">
        <f t="shared" si="5"/>
        <v>3731454.0000000047</v>
      </c>
      <c r="AL40" s="149">
        <f t="shared" si="6"/>
        <v>1636765.4450000019</v>
      </c>
      <c r="AM40" s="149">
        <f t="shared" si="21"/>
        <v>7280392.7783333398</v>
      </c>
      <c r="AN40" s="142">
        <v>0</v>
      </c>
      <c r="AO40" s="150">
        <f t="shared" si="34"/>
        <v>7280392.7783333398</v>
      </c>
      <c r="AP40" s="219"/>
      <c r="AQ40" s="142">
        <v>1</v>
      </c>
      <c r="AR40" s="165">
        <v>4</v>
      </c>
    </row>
    <row r="41" spans="1:44" x14ac:dyDescent="0.25">
      <c r="A41" s="230"/>
      <c r="B41" s="230"/>
      <c r="C41" s="230"/>
      <c r="D41" s="230"/>
      <c r="E41" s="151">
        <v>4</v>
      </c>
      <c r="F41" s="128">
        <f t="shared" si="75"/>
        <v>46.599999999999994</v>
      </c>
      <c r="G41" s="151">
        <v>4</v>
      </c>
      <c r="H41" s="142">
        <f t="shared" si="76"/>
        <v>46</v>
      </c>
      <c r="I41" s="142">
        <f t="shared" si="76"/>
        <v>80</v>
      </c>
      <c r="J41" s="143">
        <f>+(F41-H41)/I41</f>
        <v>7.4999999999999286E-3</v>
      </c>
      <c r="K41" s="142">
        <f t="shared" si="77"/>
        <v>158</v>
      </c>
      <c r="L41" s="128">
        <f t="shared" si="8"/>
        <v>5.1920402377148429</v>
      </c>
      <c r="M41" s="144">
        <f t="shared" si="9"/>
        <v>5.1920402377148428E-3</v>
      </c>
      <c r="N41" s="144">
        <f t="shared" si="32"/>
        <v>9.58371905595157E-2</v>
      </c>
      <c r="O41" s="144">
        <f t="shared" si="1"/>
        <v>3.7731177385636103</v>
      </c>
      <c r="P41" s="145">
        <f t="shared" si="10"/>
        <v>6</v>
      </c>
      <c r="Q41" s="113">
        <f>IF(O41&gt;0,VLOOKUP(P41,'$ alcantarillado'!$I$5:$L$22,4,FALSE),"0")</f>
        <v>0.14499999999999999</v>
      </c>
      <c r="R41" s="113">
        <f t="shared" si="2"/>
        <v>1.5663730108172885E-2</v>
      </c>
      <c r="S41" s="146">
        <f t="shared" si="26"/>
        <v>0.33146895419283212</v>
      </c>
      <c r="T41" s="145">
        <f>+IF(S41&gt;$B$13,VLOOKUP(P41,'$ alcantarillado'!$I$6:$N$22,5),P41)</f>
        <v>6</v>
      </c>
      <c r="U41" s="113">
        <f>IF(O41&gt;0,VLOOKUP(T41,'$ alcantarillado'!$I$5:$L$22,4),"0")</f>
        <v>0.14499999999999999</v>
      </c>
      <c r="V41" s="113">
        <f t="shared" si="33"/>
        <v>1.5663730108172885E-2</v>
      </c>
      <c r="W41" s="146">
        <f t="shared" si="4"/>
        <v>0.33146895419283212</v>
      </c>
      <c r="X41" s="146">
        <f t="shared" si="64"/>
        <v>0.9485698260063975</v>
      </c>
      <c r="Y41" s="113">
        <f>IF(T41&gt;0,(VLOOKUP($W41,Relaciones!$A$4:$D$108,2)),"")</f>
        <v>0.75</v>
      </c>
      <c r="Z41" s="146">
        <f t="shared" si="65"/>
        <v>0.71142736950479812</v>
      </c>
      <c r="AA41" s="146">
        <f t="shared" si="66"/>
        <v>0.27187499999999742</v>
      </c>
      <c r="AB41" s="147" t="str">
        <f t="shared" si="67"/>
        <v>OK</v>
      </c>
      <c r="AC41" s="147" t="str">
        <f t="shared" si="68"/>
        <v>OK</v>
      </c>
      <c r="AD41" s="147" t="str">
        <f t="shared" si="69"/>
        <v>OK</v>
      </c>
      <c r="AE41" s="148">
        <f t="shared" si="70"/>
        <v>1</v>
      </c>
      <c r="AF41" s="148">
        <f t="shared" si="71"/>
        <v>1</v>
      </c>
      <c r="AG41" s="148">
        <f t="shared" si="72"/>
        <v>1</v>
      </c>
      <c r="AH41" s="148">
        <f t="shared" si="73"/>
        <v>3</v>
      </c>
      <c r="AI41" s="147">
        <f t="shared" si="74"/>
        <v>0.64500000000000002</v>
      </c>
      <c r="AJ41" s="149">
        <f>IF(AI41&gt;0,I41*VLOOKUP(T41,'$ alcantarillado'!$I$6:$K$22,3),0)</f>
        <v>1912173.3333333335</v>
      </c>
      <c r="AK41" s="149">
        <f t="shared" si="5"/>
        <v>4195854.0000000047</v>
      </c>
      <c r="AL41" s="149">
        <f t="shared" si="6"/>
        <v>1985755.9450000019</v>
      </c>
      <c r="AM41" s="149">
        <f t="shared" si="21"/>
        <v>8093783.2783333398</v>
      </c>
      <c r="AN41" s="142">
        <v>0</v>
      </c>
      <c r="AO41" s="150">
        <f t="shared" si="34"/>
        <v>8093783.2783333398</v>
      </c>
      <c r="AP41" s="219"/>
      <c r="AQ41" s="142"/>
      <c r="AR41" s="165"/>
    </row>
    <row r="42" spans="1:44" ht="15.75" thickBot="1" x14ac:dyDescent="0.3">
      <c r="A42" s="230"/>
      <c r="B42" s="230"/>
      <c r="C42" s="230"/>
      <c r="D42" s="230"/>
      <c r="E42" s="152">
        <v>5</v>
      </c>
      <c r="F42" s="153">
        <f t="shared" si="75"/>
        <v>46.099999999999994</v>
      </c>
      <c r="G42" s="152">
        <v>4</v>
      </c>
      <c r="H42" s="154">
        <f>+H41</f>
        <v>46</v>
      </c>
      <c r="I42" s="154">
        <f>+I41</f>
        <v>80</v>
      </c>
      <c r="J42" s="155">
        <f t="shared" si="7"/>
        <v>1.2499999999999289E-3</v>
      </c>
      <c r="K42" s="154">
        <f>+K41</f>
        <v>158</v>
      </c>
      <c r="L42" s="153">
        <f t="shared" si="8"/>
        <v>5.1920402377148429</v>
      </c>
      <c r="M42" s="156">
        <f t="shared" si="9"/>
        <v>5.1920402377148428E-3</v>
      </c>
      <c r="N42" s="156">
        <f t="shared" si="32"/>
        <v>0.13410267267565754</v>
      </c>
      <c r="O42" s="156">
        <f t="shared" si="1"/>
        <v>5.2796327825062024</v>
      </c>
      <c r="P42" s="157">
        <f t="shared" si="10"/>
        <v>6</v>
      </c>
      <c r="Q42" s="113">
        <f>IF(O42&gt;0,VLOOKUP(P42,'$ alcantarillado'!$I$5:$L$22,4,FALSE),"0")</f>
        <v>0.14499999999999999</v>
      </c>
      <c r="R42" s="160">
        <f t="shared" si="2"/>
        <v>6.3946910389487679E-3</v>
      </c>
      <c r="S42" s="146">
        <f t="shared" si="26"/>
        <v>0.81192980334642872</v>
      </c>
      <c r="T42" s="145">
        <f>+IF(S42&gt;$B$13,VLOOKUP(P42,'$ alcantarillado'!$I$6:$N$22,5),P42)</f>
        <v>6</v>
      </c>
      <c r="U42" s="113">
        <f>IF(O42&gt;0,VLOOKUP(T42,'$ alcantarillado'!$I$5:$L$22,4),"0")</f>
        <v>0.14499999999999999</v>
      </c>
      <c r="V42" s="113">
        <f t="shared" si="33"/>
        <v>6.3946910389487679E-3</v>
      </c>
      <c r="W42" s="146">
        <f t="shared" si="4"/>
        <v>0.81192980334642872</v>
      </c>
      <c r="X42" s="146">
        <f t="shared" si="64"/>
        <v>0.38725200985270652</v>
      </c>
      <c r="Y42" s="113">
        <f>IF(T42&gt;0,(VLOOKUP($W42,Relaciones!$A$4:$D$108,2)),"")</f>
        <v>0.98699999999999999</v>
      </c>
      <c r="Z42" s="146">
        <f t="shared" si="65"/>
        <v>0.38221773372462131</v>
      </c>
      <c r="AA42" s="146">
        <f t="shared" si="66"/>
        <v>4.5312499999997424E-2</v>
      </c>
      <c r="AB42" s="147" t="str">
        <f t="shared" si="67"/>
        <v>OK</v>
      </c>
      <c r="AC42" s="147" t="str">
        <f t="shared" si="68"/>
        <v>No Cumple</v>
      </c>
      <c r="AD42" s="147" t="str">
        <f t="shared" si="69"/>
        <v>No Cumple</v>
      </c>
      <c r="AE42" s="148">
        <f t="shared" si="70"/>
        <v>1</v>
      </c>
      <c r="AF42" s="148">
        <f t="shared" si="71"/>
        <v>0</v>
      </c>
      <c r="AG42" s="148">
        <f t="shared" si="72"/>
        <v>0</v>
      </c>
      <c r="AH42" s="148">
        <f t="shared" si="73"/>
        <v>1</v>
      </c>
      <c r="AI42" s="147">
        <f t="shared" si="74"/>
        <v>0</v>
      </c>
      <c r="AJ42" s="158">
        <f>IF(AI42&gt;0,I42*VLOOKUP(T42,'$ alcantarillado'!$I$6:$K$22,3),0)</f>
        <v>0</v>
      </c>
      <c r="AK42" s="158">
        <f t="shared" si="5"/>
        <v>0</v>
      </c>
      <c r="AL42" s="158">
        <f t="shared" si="6"/>
        <v>0</v>
      </c>
      <c r="AM42" s="158">
        <f t="shared" si="21"/>
        <v>0</v>
      </c>
      <c r="AN42" s="154">
        <v>0</v>
      </c>
      <c r="AO42" s="159" t="str">
        <f t="shared" si="34"/>
        <v/>
      </c>
      <c r="AP42" s="220"/>
      <c r="AQ42" s="154"/>
      <c r="AR42" s="166"/>
    </row>
    <row r="43" spans="1:44" x14ac:dyDescent="0.25">
      <c r="A43" s="230"/>
      <c r="B43" s="230"/>
      <c r="C43" s="230"/>
      <c r="D43" s="230"/>
      <c r="E43" s="127">
        <v>1</v>
      </c>
      <c r="F43" s="132">
        <f>+$D$23-$B$5</f>
        <v>48.099999999999994</v>
      </c>
      <c r="G43" s="127">
        <v>5</v>
      </c>
      <c r="H43" s="132">
        <f>+H38-$B$4</f>
        <v>45.5</v>
      </c>
      <c r="I43" s="142">
        <f>+I38</f>
        <v>80</v>
      </c>
      <c r="J43" s="143">
        <f>+(F43-H43)/I43</f>
        <v>3.2499999999999932E-2</v>
      </c>
      <c r="K43" s="142">
        <f>+K38</f>
        <v>158</v>
      </c>
      <c r="L43" s="132">
        <f>IF(K43&lt;38,K43^0.3686*0.7401,IF(K43&lt;235,K43^0.4193*0.6215,IF(K43&lt;932,K43*0.0092+4.2493,K43*0.0069+6.7345)))</f>
        <v>5.1920402377148429</v>
      </c>
      <c r="M43" s="133">
        <f>+L43/1000</f>
        <v>5.1920402377148428E-3</v>
      </c>
      <c r="N43" s="133">
        <f t="shared" si="32"/>
        <v>7.2799757174155114E-2</v>
      </c>
      <c r="O43" s="133">
        <f t="shared" si="1"/>
        <v>2.8661321722108313</v>
      </c>
      <c r="P43" s="134">
        <f t="shared" si="10"/>
        <v>6</v>
      </c>
      <c r="Q43" s="135">
        <f>IF(O43&gt;0,VLOOKUP(P43,'$ alcantarillado'!$I$5:$L$22,4,FALSE),"0")</f>
        <v>0.14499999999999999</v>
      </c>
      <c r="R43" s="135">
        <f t="shared" si="2"/>
        <v>3.2606654390997587E-2</v>
      </c>
      <c r="S43" s="136">
        <f t="shared" si="26"/>
        <v>0.15923253503580298</v>
      </c>
      <c r="T43" s="134">
        <f>+IF(S43&gt;$B$13,VLOOKUP(P43,'$ alcantarillado'!$I$6:$N$22,5),P43)</f>
        <v>6</v>
      </c>
      <c r="U43" s="135">
        <f>IF(O43&gt;0,VLOOKUP(T43,'$ alcantarillado'!$I$5:$L$22,4),"0")</f>
        <v>0.14499999999999999</v>
      </c>
      <c r="V43" s="135">
        <f t="shared" si="33"/>
        <v>3.2606654390997587E-2</v>
      </c>
      <c r="W43" s="136">
        <f t="shared" si="4"/>
        <v>0.15923253503580298</v>
      </c>
      <c r="X43" s="136">
        <f>IF(T43&gt;0,4*V43/(PI()*(U43)^2),"")</f>
        <v>1.9746055549170305</v>
      </c>
      <c r="Y43" s="135">
        <f>IF(T43&gt;0,(VLOOKUP($W43,Relaciones!$A$4:$D$108,2)),"")</f>
        <v>0.6</v>
      </c>
      <c r="Z43" s="136">
        <f>IF(T43&gt;0,Y43*X43,"")</f>
        <v>1.1847633329502183</v>
      </c>
      <c r="AA43" s="136">
        <f>IF(T43&gt;0,250*U43*J43,"")</f>
        <v>1.1781249999999974</v>
      </c>
      <c r="AB43" s="137" t="str">
        <f>IF(T43&gt;0,IF(W43&lt;=$B$13,"OK","No Cumple"),"")</f>
        <v>OK</v>
      </c>
      <c r="AC43" s="137" t="str">
        <f>IF(T43&gt;0,IF(Z43&gt;=$B$12,"OK","No Cumple"),"")</f>
        <v>OK</v>
      </c>
      <c r="AD43" s="137" t="str">
        <f>IF(T43&gt;0,IF(AA43&gt;$B$14,"OK","No Cumple"),"")</f>
        <v>OK</v>
      </c>
      <c r="AE43" s="138">
        <f>+IF(AB43="OK",1,0)</f>
        <v>1</v>
      </c>
      <c r="AF43" s="138">
        <f>+IF(AC43="OK",1,0)</f>
        <v>1</v>
      </c>
      <c r="AG43" s="138">
        <f>+IF(AD43="OK",1,0)</f>
        <v>1</v>
      </c>
      <c r="AH43" s="138">
        <f>SUM(AE43:AG43)</f>
        <v>3</v>
      </c>
      <c r="AI43" s="137">
        <f>IF(AH43=3,2*$B$7+U43,0)</f>
        <v>0.64500000000000002</v>
      </c>
      <c r="AJ43" s="139">
        <f>IF(AI43&gt;0,I43*VLOOKUP(T43,'$ alcantarillado'!$I$6:$K$22,3),0)</f>
        <v>1912173.3333333335</v>
      </c>
      <c r="AK43" s="139">
        <f t="shared" si="5"/>
        <v>3034854.0000000042</v>
      </c>
      <c r="AL43" s="139">
        <f t="shared" si="6"/>
        <v>938784.44500000204</v>
      </c>
      <c r="AM43" s="139">
        <f>IF(AJ43&gt;0,AJ43+AK43+AL43,0)</f>
        <v>5885811.7783333398</v>
      </c>
      <c r="AN43" s="129">
        <v>0</v>
      </c>
      <c r="AO43" s="140">
        <f t="shared" si="34"/>
        <v>5885811.7783333398</v>
      </c>
      <c r="AP43" s="232">
        <f>+MIN(AO43:AO47)</f>
        <v>5885811.7783333398</v>
      </c>
      <c r="AQ43" s="142"/>
      <c r="AR43" s="165"/>
    </row>
    <row r="44" spans="1:44" x14ac:dyDescent="0.25">
      <c r="A44" s="230"/>
      <c r="B44" s="230"/>
      <c r="C44" s="230"/>
      <c r="D44" s="230"/>
      <c r="E44" s="141">
        <v>2</v>
      </c>
      <c r="F44" s="128">
        <f>+F43-$B$4</f>
        <v>47.599999999999994</v>
      </c>
      <c r="G44" s="141">
        <v>5</v>
      </c>
      <c r="H44" s="128">
        <f>+H43</f>
        <v>45.5</v>
      </c>
      <c r="I44" s="142">
        <f>+I43</f>
        <v>80</v>
      </c>
      <c r="J44" s="143">
        <f t="shared" si="7"/>
        <v>2.624999999999993E-2</v>
      </c>
      <c r="K44" s="142">
        <f>+K43</f>
        <v>158</v>
      </c>
      <c r="L44" s="128">
        <f t="shared" si="8"/>
        <v>5.1920402377148429</v>
      </c>
      <c r="M44" s="144">
        <f t="shared" si="9"/>
        <v>5.1920402377148428E-3</v>
      </c>
      <c r="N44" s="144">
        <f t="shared" si="32"/>
        <v>7.5774192283666539E-2</v>
      </c>
      <c r="O44" s="144">
        <f t="shared" si="1"/>
        <v>2.983235916679785</v>
      </c>
      <c r="P44" s="145">
        <f t="shared" si="10"/>
        <v>6</v>
      </c>
      <c r="Q44" s="113">
        <f>IF(O44&gt;0,VLOOKUP(P44,'$ alcantarillado'!$I$5:$L$22,4,FALSE),"0")</f>
        <v>0.14499999999999999</v>
      </c>
      <c r="R44" s="113">
        <f t="shared" si="2"/>
        <v>2.9304155731839334E-2</v>
      </c>
      <c r="S44" s="146">
        <f t="shared" si="26"/>
        <v>0.17717760870597701</v>
      </c>
      <c r="T44" s="145">
        <f>+IF(S44&gt;$B$13,VLOOKUP(P44,'$ alcantarillado'!$I$6:$N$22,5),P44)</f>
        <v>6</v>
      </c>
      <c r="U44" s="113">
        <f>IF(O44&gt;0,VLOOKUP(T44,'$ alcantarillado'!$I$5:$L$22,4),"0")</f>
        <v>0.14499999999999999</v>
      </c>
      <c r="V44" s="113">
        <f t="shared" si="33"/>
        <v>2.9304155731839334E-2</v>
      </c>
      <c r="W44" s="146">
        <f t="shared" si="4"/>
        <v>0.17717760870597701</v>
      </c>
      <c r="X44" s="146">
        <f t="shared" ref="X44:X47" si="78">IF(T44&gt;0,4*V44/(PI()*(U44)^2),"")</f>
        <v>1.774611648173861</v>
      </c>
      <c r="Y44" s="113">
        <f>IF(T44&gt;0,(VLOOKUP($W44,Relaciones!$A$4:$D$108,2)),"")</f>
        <v>0.624</v>
      </c>
      <c r="Z44" s="146">
        <f t="shared" ref="Z44:Z47" si="79">IF(T44&gt;0,Y44*X44,"")</f>
        <v>1.1073576684604893</v>
      </c>
      <c r="AA44" s="146">
        <f t="shared" ref="AA44:AA47" si="80">IF(T44&gt;0,250*U44*J44,"")</f>
        <v>0.95156249999999742</v>
      </c>
      <c r="AB44" s="147" t="str">
        <f t="shared" ref="AB44:AB47" si="81">IF(T44&gt;0,IF(W44&lt;=$B$13,"OK","No Cumple"),"")</f>
        <v>OK</v>
      </c>
      <c r="AC44" s="147" t="str">
        <f t="shared" ref="AC44:AC47" si="82">IF(T44&gt;0,IF(Z44&gt;=$B$12,"OK","No Cumple"),"")</f>
        <v>OK</v>
      </c>
      <c r="AD44" s="147" t="str">
        <f t="shared" ref="AD44:AD47" si="83">IF(T44&gt;0,IF(AA44&gt;$B$14,"OK","No Cumple"),"")</f>
        <v>OK</v>
      </c>
      <c r="AE44" s="148">
        <f t="shared" ref="AE44:AE47" si="84">+IF(AB44="OK",1,0)</f>
        <v>1</v>
      </c>
      <c r="AF44" s="148">
        <f t="shared" ref="AF44:AF47" si="85">+IF(AC44="OK",1,0)</f>
        <v>1</v>
      </c>
      <c r="AG44" s="148">
        <f t="shared" ref="AG44:AG47" si="86">+IF(AD44="OK",1,0)</f>
        <v>1</v>
      </c>
      <c r="AH44" s="148">
        <f t="shared" ref="AH44:AH47" si="87">SUM(AE44:AG44)</f>
        <v>3</v>
      </c>
      <c r="AI44" s="147">
        <f t="shared" ref="AI44:AI47" si="88">IF(AH44=3,2*$B$7+U44,0)</f>
        <v>0.64500000000000002</v>
      </c>
      <c r="AJ44" s="149">
        <f>IF(AI44&gt;0,I44*VLOOKUP(T44,'$ alcantarillado'!$I$6:$K$22,3),0)</f>
        <v>1912173.3333333335</v>
      </c>
      <c r="AK44" s="149">
        <f t="shared" si="5"/>
        <v>3499254.0000000047</v>
      </c>
      <c r="AL44" s="149">
        <f t="shared" si="6"/>
        <v>1287774.9450000019</v>
      </c>
      <c r="AM44" s="149">
        <f t="shared" si="21"/>
        <v>6699202.2783333398</v>
      </c>
      <c r="AN44" s="142">
        <v>0</v>
      </c>
      <c r="AO44" s="150">
        <f t="shared" si="34"/>
        <v>6699202.2783333398</v>
      </c>
      <c r="AP44" s="218"/>
      <c r="AQ44" s="142"/>
      <c r="AR44" s="165"/>
    </row>
    <row r="45" spans="1:44" x14ac:dyDescent="0.25">
      <c r="A45" s="230"/>
      <c r="B45" s="230"/>
      <c r="C45" s="230"/>
      <c r="D45" s="230"/>
      <c r="E45" s="151">
        <v>3</v>
      </c>
      <c r="F45" s="128">
        <f t="shared" ref="F45:F47" si="89">+F44-$B$4</f>
        <v>47.099999999999994</v>
      </c>
      <c r="G45" s="151">
        <v>5</v>
      </c>
      <c r="H45" s="128">
        <f t="shared" ref="H45:I46" si="90">+H44</f>
        <v>45.5</v>
      </c>
      <c r="I45" s="142">
        <f t="shared" si="90"/>
        <v>80</v>
      </c>
      <c r="J45" s="143">
        <f t="shared" si="7"/>
        <v>1.9999999999999928E-2</v>
      </c>
      <c r="K45" s="142">
        <f t="shared" ref="K45:K46" si="91">+K44</f>
        <v>158</v>
      </c>
      <c r="L45" s="128">
        <f t="shared" si="8"/>
        <v>5.1920402377148429</v>
      </c>
      <c r="M45" s="144">
        <f t="shared" si="9"/>
        <v>5.1920402377148428E-3</v>
      </c>
      <c r="N45" s="144">
        <f t="shared" si="32"/>
        <v>7.9737926243385646E-2</v>
      </c>
      <c r="O45" s="144">
        <f t="shared" si="1"/>
        <v>3.1392884347789627</v>
      </c>
      <c r="P45" s="145">
        <f t="shared" si="10"/>
        <v>6</v>
      </c>
      <c r="Q45" s="113">
        <f>IF(O45&gt;0,VLOOKUP(P45,'$ alcantarillado'!$I$5:$L$22,4,FALSE),"0")</f>
        <v>0.14499999999999999</v>
      </c>
      <c r="R45" s="113">
        <f t="shared" si="2"/>
        <v>2.5578764155795759E-2</v>
      </c>
      <c r="S45" s="146">
        <f t="shared" si="26"/>
        <v>0.20298245083660171</v>
      </c>
      <c r="T45" s="145">
        <f>+IF(S45&gt;$B$13,VLOOKUP(P45,'$ alcantarillado'!$I$6:$N$22,5),P45)</f>
        <v>6</v>
      </c>
      <c r="U45" s="113">
        <f>IF(O45&gt;0,VLOOKUP(T45,'$ alcantarillado'!$I$5:$L$22,4),"0")</f>
        <v>0.14499999999999999</v>
      </c>
      <c r="V45" s="113">
        <f t="shared" si="33"/>
        <v>2.5578764155795759E-2</v>
      </c>
      <c r="W45" s="146">
        <f t="shared" si="4"/>
        <v>0.20298245083660171</v>
      </c>
      <c r="X45" s="146">
        <f t="shared" si="78"/>
        <v>1.5490080394108676</v>
      </c>
      <c r="Y45" s="113">
        <f>IF(T45&gt;0,(VLOOKUP($W45,Relaciones!$A$4:$D$108,2)),"")</f>
        <v>0.65600000000000003</v>
      </c>
      <c r="Z45" s="146">
        <f t="shared" si="79"/>
        <v>1.0161492738535292</v>
      </c>
      <c r="AA45" s="146">
        <f t="shared" si="80"/>
        <v>0.72499999999999742</v>
      </c>
      <c r="AB45" s="147" t="str">
        <f t="shared" si="81"/>
        <v>OK</v>
      </c>
      <c r="AC45" s="147" t="str">
        <f t="shared" si="82"/>
        <v>OK</v>
      </c>
      <c r="AD45" s="147" t="str">
        <f t="shared" si="83"/>
        <v>OK</v>
      </c>
      <c r="AE45" s="148">
        <f t="shared" si="84"/>
        <v>1</v>
      </c>
      <c r="AF45" s="148">
        <f t="shared" si="85"/>
        <v>1</v>
      </c>
      <c r="AG45" s="148">
        <f t="shared" si="86"/>
        <v>1</v>
      </c>
      <c r="AH45" s="148">
        <f t="shared" si="87"/>
        <v>3</v>
      </c>
      <c r="AI45" s="147">
        <f t="shared" si="88"/>
        <v>0.64500000000000002</v>
      </c>
      <c r="AJ45" s="149">
        <f>IF(AI45&gt;0,I45*VLOOKUP(T45,'$ alcantarillado'!$I$6:$K$22,3),0)</f>
        <v>1912173.3333333335</v>
      </c>
      <c r="AK45" s="149">
        <f t="shared" si="5"/>
        <v>3963654.0000000042</v>
      </c>
      <c r="AL45" s="149">
        <f t="shared" si="6"/>
        <v>1636765.4450000019</v>
      </c>
      <c r="AM45" s="149">
        <f t="shared" si="21"/>
        <v>7512592.7783333398</v>
      </c>
      <c r="AN45" s="142">
        <v>0</v>
      </c>
      <c r="AO45" s="150">
        <f t="shared" si="34"/>
        <v>7512592.7783333398</v>
      </c>
      <c r="AP45" s="219"/>
      <c r="AQ45" s="142">
        <v>1</v>
      </c>
      <c r="AR45" s="165">
        <v>5</v>
      </c>
    </row>
    <row r="46" spans="1:44" x14ac:dyDescent="0.25">
      <c r="A46" s="230"/>
      <c r="B46" s="230"/>
      <c r="C46" s="230"/>
      <c r="D46" s="230"/>
      <c r="E46" s="151">
        <v>4</v>
      </c>
      <c r="F46" s="128">
        <f t="shared" si="89"/>
        <v>46.599999999999994</v>
      </c>
      <c r="G46" s="151">
        <v>5</v>
      </c>
      <c r="H46" s="128">
        <f t="shared" si="90"/>
        <v>45.5</v>
      </c>
      <c r="I46" s="142">
        <f t="shared" si="90"/>
        <v>80</v>
      </c>
      <c r="J46" s="143">
        <f>+(F46-H46)/I46</f>
        <v>1.3749999999999929E-2</v>
      </c>
      <c r="K46" s="142">
        <f t="shared" si="91"/>
        <v>158</v>
      </c>
      <c r="L46" s="128">
        <f t="shared" si="8"/>
        <v>5.1920402377148429</v>
      </c>
      <c r="M46" s="144">
        <f t="shared" si="9"/>
        <v>5.1920402377148428E-3</v>
      </c>
      <c r="N46" s="144">
        <f t="shared" si="32"/>
        <v>8.554139038768109E-2</v>
      </c>
      <c r="O46" s="144">
        <f t="shared" si="1"/>
        <v>3.3677712751055546</v>
      </c>
      <c r="P46" s="145">
        <f t="shared" si="10"/>
        <v>6</v>
      </c>
      <c r="Q46" s="113">
        <f>IF(O46&gt;0,VLOOKUP(P46,'$ alcantarillado'!$I$5:$L$22,4,FALSE),"0")</f>
        <v>0.14499999999999999</v>
      </c>
      <c r="R46" s="113">
        <f t="shared" si="2"/>
        <v>2.1208790826441566E-2</v>
      </c>
      <c r="S46" s="146">
        <f t="shared" si="26"/>
        <v>0.24480604670973452</v>
      </c>
      <c r="T46" s="145">
        <f>+IF(S46&gt;$B$13,VLOOKUP(P46,'$ alcantarillado'!$I$6:$N$22,5),P46)</f>
        <v>6</v>
      </c>
      <c r="U46" s="113">
        <f>IF(O46&gt;0,VLOOKUP(T46,'$ alcantarillado'!$I$5:$L$22,4),"0")</f>
        <v>0.14499999999999999</v>
      </c>
      <c r="V46" s="113">
        <f t="shared" si="33"/>
        <v>2.1208790826441566E-2</v>
      </c>
      <c r="W46" s="146">
        <f t="shared" si="4"/>
        <v>0.24480604670973452</v>
      </c>
      <c r="X46" s="146">
        <f t="shared" si="78"/>
        <v>1.2843696159924736</v>
      </c>
      <c r="Y46" s="113">
        <f>IF(T46&gt;0,(VLOOKUP($W46,Relaciones!$A$4:$D$108,2)),"")</f>
        <v>0.68700000000000006</v>
      </c>
      <c r="Z46" s="146">
        <f t="shared" si="79"/>
        <v>0.8823619261868294</v>
      </c>
      <c r="AA46" s="146">
        <f t="shared" si="80"/>
        <v>0.49843749999999742</v>
      </c>
      <c r="AB46" s="147" t="str">
        <f t="shared" si="81"/>
        <v>OK</v>
      </c>
      <c r="AC46" s="147" t="str">
        <f t="shared" si="82"/>
        <v>OK</v>
      </c>
      <c r="AD46" s="147" t="str">
        <f t="shared" si="83"/>
        <v>OK</v>
      </c>
      <c r="AE46" s="148">
        <f t="shared" si="84"/>
        <v>1</v>
      </c>
      <c r="AF46" s="148">
        <f t="shared" si="85"/>
        <v>1</v>
      </c>
      <c r="AG46" s="148">
        <f t="shared" si="86"/>
        <v>1</v>
      </c>
      <c r="AH46" s="148">
        <f t="shared" si="87"/>
        <v>3</v>
      </c>
      <c r="AI46" s="147">
        <f t="shared" si="88"/>
        <v>0.64500000000000002</v>
      </c>
      <c r="AJ46" s="149">
        <f>IF(AI46&gt;0,I46*VLOOKUP(T46,'$ alcantarillado'!$I$6:$K$22,3),0)</f>
        <v>1912173.3333333335</v>
      </c>
      <c r="AK46" s="149">
        <f t="shared" si="5"/>
        <v>4428054.0000000047</v>
      </c>
      <c r="AL46" s="149">
        <f t="shared" si="6"/>
        <v>1985755.9450000019</v>
      </c>
      <c r="AM46" s="149">
        <f t="shared" si="21"/>
        <v>8325983.2783333398</v>
      </c>
      <c r="AN46" s="142">
        <v>0</v>
      </c>
      <c r="AO46" s="150">
        <f t="shared" si="34"/>
        <v>8325983.2783333398</v>
      </c>
      <c r="AP46" s="219"/>
      <c r="AQ46" s="142"/>
      <c r="AR46" s="165"/>
    </row>
    <row r="47" spans="1:44" ht="15.75" thickBot="1" x14ac:dyDescent="0.3">
      <c r="A47" s="231"/>
      <c r="B47" s="231"/>
      <c r="C47" s="231"/>
      <c r="D47" s="231"/>
      <c r="E47" s="152">
        <v>5</v>
      </c>
      <c r="F47" s="153">
        <f t="shared" si="89"/>
        <v>46.099999999999994</v>
      </c>
      <c r="G47" s="152">
        <v>5</v>
      </c>
      <c r="H47" s="153">
        <f>+H46</f>
        <v>45.5</v>
      </c>
      <c r="I47" s="154">
        <f>+I46</f>
        <v>80</v>
      </c>
      <c r="J47" s="155">
        <f t="shared" si="7"/>
        <v>7.4999999999999286E-3</v>
      </c>
      <c r="K47" s="154">
        <f>+K46</f>
        <v>158</v>
      </c>
      <c r="L47" s="153">
        <f t="shared" si="8"/>
        <v>5.1920402377148429</v>
      </c>
      <c r="M47" s="156">
        <f t="shared" si="9"/>
        <v>5.1920402377148428E-3</v>
      </c>
      <c r="N47" s="156">
        <f t="shared" si="32"/>
        <v>9.58371905595157E-2</v>
      </c>
      <c r="O47" s="156">
        <f t="shared" si="1"/>
        <v>3.7731177385636103</v>
      </c>
      <c r="P47" s="157">
        <f t="shared" si="10"/>
        <v>6</v>
      </c>
      <c r="Q47" s="113">
        <f>IF(O47&gt;0,VLOOKUP(P47,'$ alcantarillado'!$I$5:$L$22,4,FALSE),"0")</f>
        <v>0.14499999999999999</v>
      </c>
      <c r="R47" s="160">
        <f t="shared" si="2"/>
        <v>1.5663730108172885E-2</v>
      </c>
      <c r="S47" s="146">
        <f t="shared" si="26"/>
        <v>0.33146895419283212</v>
      </c>
      <c r="T47" s="145">
        <f>+IF(S47&gt;$B$13,VLOOKUP(P47,'$ alcantarillado'!$I$6:$N$22,5),P47)</f>
        <v>6</v>
      </c>
      <c r="U47" s="113">
        <f>IF(O47&gt;0,VLOOKUP(T47,'$ alcantarillado'!$I$5:$L$22,4),"0")</f>
        <v>0.14499999999999999</v>
      </c>
      <c r="V47" s="113">
        <f t="shared" si="33"/>
        <v>1.5663730108172885E-2</v>
      </c>
      <c r="W47" s="146">
        <f t="shared" si="4"/>
        <v>0.33146895419283212</v>
      </c>
      <c r="X47" s="146">
        <f t="shared" si="78"/>
        <v>0.9485698260063975</v>
      </c>
      <c r="Y47" s="113">
        <f>IF(T47&gt;0,(VLOOKUP($W47,Relaciones!$A$4:$D$108,2)),"")</f>
        <v>0.75</v>
      </c>
      <c r="Z47" s="146">
        <f t="shared" si="79"/>
        <v>0.71142736950479812</v>
      </c>
      <c r="AA47" s="146">
        <f t="shared" si="80"/>
        <v>0.27187499999999742</v>
      </c>
      <c r="AB47" s="147" t="str">
        <f t="shared" si="81"/>
        <v>OK</v>
      </c>
      <c r="AC47" s="147" t="str">
        <f t="shared" si="82"/>
        <v>OK</v>
      </c>
      <c r="AD47" s="147" t="str">
        <f t="shared" si="83"/>
        <v>OK</v>
      </c>
      <c r="AE47" s="148">
        <f t="shared" si="84"/>
        <v>1</v>
      </c>
      <c r="AF47" s="148">
        <f t="shared" si="85"/>
        <v>1</v>
      </c>
      <c r="AG47" s="148">
        <f t="shared" si="86"/>
        <v>1</v>
      </c>
      <c r="AH47" s="148">
        <f t="shared" si="87"/>
        <v>3</v>
      </c>
      <c r="AI47" s="147">
        <f t="shared" si="88"/>
        <v>0.64500000000000002</v>
      </c>
      <c r="AJ47" s="158">
        <f>IF(AI47&gt;0,I47*VLOOKUP(T47,'$ alcantarillado'!$I$6:$K$22,3),0)</f>
        <v>1912173.3333333335</v>
      </c>
      <c r="AK47" s="158">
        <f t="shared" si="5"/>
        <v>4892454.0000000037</v>
      </c>
      <c r="AL47" s="158">
        <f t="shared" si="6"/>
        <v>2334746.4450000022</v>
      </c>
      <c r="AM47" s="158">
        <f t="shared" si="21"/>
        <v>9139373.7783333398</v>
      </c>
      <c r="AN47" s="154">
        <v>0</v>
      </c>
      <c r="AO47" s="159">
        <f t="shared" si="34"/>
        <v>9139373.7783333398</v>
      </c>
      <c r="AP47" s="220"/>
      <c r="AQ47" s="142"/>
      <c r="AR47" s="165"/>
    </row>
    <row r="48" spans="1:44" x14ac:dyDescent="0.25">
      <c r="A48" s="210">
        <v>2</v>
      </c>
      <c r="B48" s="210">
        <v>2</v>
      </c>
      <c r="C48" s="210">
        <v>5</v>
      </c>
      <c r="D48" s="210">
        <v>49.2</v>
      </c>
      <c r="E48" s="4">
        <v>1</v>
      </c>
      <c r="F48" s="7">
        <f>+H23</f>
        <v>47.5</v>
      </c>
      <c r="G48" s="4">
        <v>1</v>
      </c>
      <c r="H48" s="2">
        <f>+$D$73-$B$5-$B$4</f>
        <v>47.39</v>
      </c>
      <c r="I48" s="7">
        <v>80</v>
      </c>
      <c r="J48" s="17">
        <f>+(F48-H48)/I48</f>
        <v>1.374999999999993E-3</v>
      </c>
      <c r="K48" s="7">
        <f>+K23</f>
        <v>158</v>
      </c>
      <c r="L48" s="14">
        <f>IF(K48&lt;38,K48^0.3686*0.7401,IF(K48&lt;235,K48^0.4193*0.6215,IF(K48&lt;932,K48*0.0092+4.2493,K48*0.0069+6.7345)))</f>
        <v>5.1920402377148429</v>
      </c>
      <c r="M48" s="31">
        <f>+L48/1000</f>
        <v>5.1920402377148428E-3</v>
      </c>
      <c r="N48" s="31">
        <f t="shared" si="32"/>
        <v>0.1317274561340005</v>
      </c>
      <c r="O48" s="31">
        <f t="shared" si="1"/>
        <v>5.18612032023624</v>
      </c>
      <c r="P48" s="57">
        <f t="shared" si="10"/>
        <v>6</v>
      </c>
      <c r="Q48" s="60">
        <f>IF(O48&gt;0,VLOOKUP(P48,'$ alcantarillado'!$I$5:$L$22,4,FALSE),"0")</f>
        <v>0.14499999999999999</v>
      </c>
      <c r="R48" s="60">
        <f t="shared" si="2"/>
        <v>6.7068085429640217E-3</v>
      </c>
      <c r="S48" s="27">
        <f t="shared" si="26"/>
        <v>0.77414469258433027</v>
      </c>
      <c r="T48" s="57">
        <f>+IF(S48&gt;$B$13,VLOOKUP(P48,'$ alcantarillado'!$I$6:$N$22,5),P48)</f>
        <v>6</v>
      </c>
      <c r="U48" s="60">
        <f>IF(O48&gt;0,VLOOKUP(T48,'$ alcantarillado'!$I$5:$L$22,4),"0")</f>
        <v>0.14499999999999999</v>
      </c>
      <c r="V48" s="60">
        <f t="shared" si="33"/>
        <v>6.7068085429640217E-3</v>
      </c>
      <c r="W48" s="27">
        <f t="shared" si="4"/>
        <v>0.77414469258433027</v>
      </c>
      <c r="X48" s="27">
        <f>IF(T48&gt;0,4*V48/(PI()*(U48)^2),"")</f>
        <v>0.4061533344052039</v>
      </c>
      <c r="Y48" s="60">
        <f>IF(T48&gt;0,(VLOOKUP($W48,Relaciones!$A$4:$D$108,2)),"")</f>
        <v>0.97199999999999998</v>
      </c>
      <c r="Z48" s="27">
        <f>IF(T48&gt;0,Y48*X48,"")</f>
        <v>0.39478104104185818</v>
      </c>
      <c r="AA48" s="27">
        <f>IF(T48&gt;0,250*U48*J48,"")</f>
        <v>4.9843749999999742E-2</v>
      </c>
      <c r="AB48" s="45" t="str">
        <f>IF(T48&gt;0,IF(W48&lt;=$B$13,"OK","No Cumple"),"")</f>
        <v>OK</v>
      </c>
      <c r="AC48" s="45" t="str">
        <f>IF(T48&gt;0,IF(Z48&gt;=$B$12,"OK","No Cumple"),"")</f>
        <v>No Cumple</v>
      </c>
      <c r="AD48" s="45" t="str">
        <f>IF(T48&gt;0,IF(AA48&gt;$B$14,"OK","No Cumple"),"")</f>
        <v>No Cumple</v>
      </c>
      <c r="AE48" s="32">
        <f>+IF(AB48="OK",1,0)</f>
        <v>1</v>
      </c>
      <c r="AF48" s="32">
        <f>+IF(AC48="OK",1,0)</f>
        <v>0</v>
      </c>
      <c r="AG48" s="32">
        <f>+IF(AD48="OK",1,0)</f>
        <v>0</v>
      </c>
      <c r="AH48" s="32">
        <f>SUM(AE48:AG48)</f>
        <v>1</v>
      </c>
      <c r="AI48" s="45">
        <f>IF(AH48=3,2*$B$7+U48,0)</f>
        <v>0</v>
      </c>
      <c r="AJ48" s="21">
        <f>IF(AI48&gt;0,I48*VLOOKUP(T48,'$ alcantarillado'!$I$6:$K$22,3),0)</f>
        <v>0</v>
      </c>
      <c r="AK48" s="21">
        <f t="shared" ref="AK48:AK72" si="92">IF(N48&gt;0,((($D$48-F48)+(U48))+(($D$73-H48)+(U48))/2)*AI48*I48*$C$9,0)</f>
        <v>0</v>
      </c>
      <c r="AL48" s="21">
        <f t="shared" ref="AL48:AL72" si="93">IF(AI48&gt;0,(($D$48-F48)+U48)*$C$10,0)</f>
        <v>0</v>
      </c>
      <c r="AM48" s="21">
        <f>IF(AJ48&gt;0,AJ48+AK48+AL48,0)</f>
        <v>0</v>
      </c>
      <c r="AN48" s="50">
        <f>+AP23</f>
        <v>4957011.7783333398</v>
      </c>
      <c r="AO48" s="77" t="str">
        <f>IF((AM48)&gt;0,IF(AN48&gt;0,AM48+AN48,""),"")</f>
        <v/>
      </c>
      <c r="AP48" s="213">
        <f>+MIN(AO48:AO52)</f>
        <v>0</v>
      </c>
      <c r="AQ48" s="7"/>
      <c r="AR48" s="8"/>
    </row>
    <row r="49" spans="1:44" x14ac:dyDescent="0.25">
      <c r="A49" s="211"/>
      <c r="B49" s="211"/>
      <c r="C49" s="211"/>
      <c r="D49" s="211"/>
      <c r="E49" s="5">
        <v>2</v>
      </c>
      <c r="F49" s="2">
        <f>+H28</f>
        <v>47</v>
      </c>
      <c r="G49" s="5">
        <v>1</v>
      </c>
      <c r="H49" s="2">
        <f>+H48</f>
        <v>47.39</v>
      </c>
      <c r="I49" s="2">
        <f>+I48</f>
        <v>80</v>
      </c>
      <c r="J49" s="18">
        <f t="shared" si="7"/>
        <v>-4.8750000000000069E-3</v>
      </c>
      <c r="K49" s="2">
        <f>+K48</f>
        <v>158</v>
      </c>
      <c r="L49" s="15">
        <f t="shared" si="8"/>
        <v>5.1920402377148429</v>
      </c>
      <c r="M49" s="33">
        <f t="shared" ref="M49:M52" si="94">+L49/1000</f>
        <v>5.1920402377148428E-3</v>
      </c>
      <c r="N49" s="33">
        <f t="shared" si="32"/>
        <v>0</v>
      </c>
      <c r="O49" s="33">
        <f t="shared" si="1"/>
        <v>0</v>
      </c>
      <c r="P49" s="58">
        <f t="shared" si="10"/>
        <v>0</v>
      </c>
      <c r="Q49" s="55" t="str">
        <f>IF(O49&gt;0,VLOOKUP(P49,'$ alcantarillado'!$I$5:$L$22,4,FALSE),"0")</f>
        <v>0</v>
      </c>
      <c r="R49" s="55" t="str">
        <f t="shared" si="2"/>
        <v/>
      </c>
      <c r="S49" s="35">
        <f t="shared" si="26"/>
        <v>0</v>
      </c>
      <c r="T49" s="58">
        <f>+IF(S49&gt;$B$13,VLOOKUP(P49,'$ alcantarillado'!$I$6:$N$22,5),P49)</f>
        <v>0</v>
      </c>
      <c r="U49" s="55" t="str">
        <f>IF(O49&gt;0,VLOOKUP(T49,'$ alcantarillado'!$I$5:$L$22,4),"0")</f>
        <v>0</v>
      </c>
      <c r="V49" s="55" t="str">
        <f t="shared" si="33"/>
        <v/>
      </c>
      <c r="W49" s="35">
        <f t="shared" si="4"/>
        <v>0</v>
      </c>
      <c r="X49" s="35" t="str">
        <f t="shared" ref="X49:X52" si="95">IF(T49&gt;0,4*V49/(PI()*(U49)^2),"")</f>
        <v/>
      </c>
      <c r="Y49" s="55" t="str">
        <f>IF(T49&gt;0,(VLOOKUP($W49,Relaciones!$A$4:$D$108,2)),"")</f>
        <v/>
      </c>
      <c r="Z49" s="35" t="str">
        <f t="shared" ref="Z49:Z52" si="96">IF(T49&gt;0,Y49*X49,"")</f>
        <v/>
      </c>
      <c r="AA49" s="35" t="str">
        <f t="shared" ref="AA49:AA52" si="97">IF(T49&gt;0,250*U49*J49,"")</f>
        <v/>
      </c>
      <c r="AB49" s="46" t="str">
        <f t="shared" ref="AB49:AB52" si="98">IF(T49&gt;0,IF(W49&lt;=$B$13,"OK","No Cumple"),"")</f>
        <v/>
      </c>
      <c r="AC49" s="46" t="str">
        <f t="shared" ref="AC49:AC52" si="99">IF(T49&gt;0,IF(Z49&gt;=$B$12,"OK","No Cumple"),"")</f>
        <v/>
      </c>
      <c r="AD49" s="46" t="str">
        <f t="shared" ref="AD49:AD52" si="100">IF(T49&gt;0,IF(AA49&gt;$B$14,"OK","No Cumple"),"")</f>
        <v/>
      </c>
      <c r="AE49" s="48">
        <f t="shared" ref="AE49:AE52" si="101">+IF(AB49="OK",1,0)</f>
        <v>0</v>
      </c>
      <c r="AF49" s="48">
        <f t="shared" ref="AF49:AF52" si="102">+IF(AC49="OK",1,0)</f>
        <v>0</v>
      </c>
      <c r="AG49" s="48">
        <f t="shared" ref="AG49:AG52" si="103">+IF(AD49="OK",1,0)</f>
        <v>0</v>
      </c>
      <c r="AH49" s="48">
        <f t="shared" ref="AH49:AH52" si="104">SUM(AE49:AG49)</f>
        <v>0</v>
      </c>
      <c r="AI49" s="46">
        <f t="shared" ref="AI49:AI52" si="105">IF(AH49=3,2*$B$7+U49,0)</f>
        <v>0</v>
      </c>
      <c r="AJ49" s="20">
        <f>IF(AI49&gt;0,I49*VLOOKUP(T49,'$ alcantarillado'!$I$6:$K$22,3),0)</f>
        <v>0</v>
      </c>
      <c r="AK49" s="20">
        <f t="shared" si="92"/>
        <v>0</v>
      </c>
      <c r="AL49" s="20">
        <f t="shared" si="93"/>
        <v>0</v>
      </c>
      <c r="AM49" s="20">
        <f t="shared" si="21"/>
        <v>0</v>
      </c>
      <c r="AN49" s="50">
        <f>+AP28</f>
        <v>5189211.7783333398</v>
      </c>
      <c r="AO49" s="78" t="str">
        <f t="shared" ref="AO49:AO114" si="106">IF((AM49)&gt;0,IF(AN49&gt;0,AM49+AN49,""),"")</f>
        <v/>
      </c>
      <c r="AP49" s="214"/>
      <c r="AQ49" s="2"/>
      <c r="AR49" s="9"/>
    </row>
    <row r="50" spans="1:44" x14ac:dyDescent="0.25">
      <c r="A50" s="211"/>
      <c r="B50" s="211"/>
      <c r="C50" s="211"/>
      <c r="D50" s="211"/>
      <c r="E50" s="56">
        <v>3</v>
      </c>
      <c r="F50" s="2">
        <f>+H33</f>
        <v>46.5</v>
      </c>
      <c r="G50" s="56">
        <v>1</v>
      </c>
      <c r="H50" s="2">
        <f t="shared" ref="H50:I52" si="107">+H49</f>
        <v>47.39</v>
      </c>
      <c r="I50" s="2">
        <f t="shared" si="107"/>
        <v>80</v>
      </c>
      <c r="J50" s="18">
        <f t="shared" si="7"/>
        <v>-1.1125000000000006E-2</v>
      </c>
      <c r="K50" s="2">
        <f t="shared" ref="K50" si="108">+K49</f>
        <v>158</v>
      </c>
      <c r="L50" s="15">
        <f t="shared" si="8"/>
        <v>5.1920402377148429</v>
      </c>
      <c r="M50" s="33">
        <f t="shared" si="94"/>
        <v>5.1920402377148428E-3</v>
      </c>
      <c r="N50" s="33">
        <f t="shared" si="32"/>
        <v>0</v>
      </c>
      <c r="O50" s="33">
        <f t="shared" si="1"/>
        <v>0</v>
      </c>
      <c r="P50" s="58">
        <f t="shared" si="10"/>
        <v>0</v>
      </c>
      <c r="Q50" s="55" t="str">
        <f>IF(O50&gt;0,VLOOKUP(P50,'$ alcantarillado'!$I$5:$L$22,4,FALSE),"0")</f>
        <v>0</v>
      </c>
      <c r="R50" s="55" t="str">
        <f t="shared" si="2"/>
        <v/>
      </c>
      <c r="S50" s="35">
        <f t="shared" si="26"/>
        <v>0</v>
      </c>
      <c r="T50" s="58">
        <f>+IF(S50&gt;$B$13,VLOOKUP(P50,'$ alcantarillado'!$I$6:$N$22,5),P50)</f>
        <v>0</v>
      </c>
      <c r="U50" s="55" t="str">
        <f>IF(O50&gt;0,VLOOKUP(T50,'$ alcantarillado'!$I$5:$L$22,4),"0")</f>
        <v>0</v>
      </c>
      <c r="V50" s="55" t="str">
        <f t="shared" si="33"/>
        <v/>
      </c>
      <c r="W50" s="35">
        <f t="shared" si="4"/>
        <v>0</v>
      </c>
      <c r="X50" s="35" t="str">
        <f t="shared" si="95"/>
        <v/>
      </c>
      <c r="Y50" s="55" t="str">
        <f>IF(T50&gt;0,(VLOOKUP($W50,Relaciones!$A$4:$D$108,2)),"")</f>
        <v/>
      </c>
      <c r="Z50" s="35" t="str">
        <f t="shared" si="96"/>
        <v/>
      </c>
      <c r="AA50" s="35" t="str">
        <f t="shared" si="97"/>
        <v/>
      </c>
      <c r="AB50" s="46" t="str">
        <f t="shared" si="98"/>
        <v/>
      </c>
      <c r="AC50" s="46" t="str">
        <f t="shared" si="99"/>
        <v/>
      </c>
      <c r="AD50" s="46" t="str">
        <f t="shared" si="100"/>
        <v/>
      </c>
      <c r="AE50" s="48">
        <f t="shared" si="101"/>
        <v>0</v>
      </c>
      <c r="AF50" s="48">
        <f t="shared" si="102"/>
        <v>0</v>
      </c>
      <c r="AG50" s="48">
        <f t="shared" si="103"/>
        <v>0</v>
      </c>
      <c r="AH50" s="48">
        <f t="shared" si="104"/>
        <v>0</v>
      </c>
      <c r="AI50" s="46">
        <f t="shared" si="105"/>
        <v>0</v>
      </c>
      <c r="AJ50" s="20">
        <f>IF(AI50&gt;0,I50*VLOOKUP(T50,'$ alcantarillado'!$I$6:$K$22,3),0)</f>
        <v>0</v>
      </c>
      <c r="AK50" s="20">
        <f t="shared" si="92"/>
        <v>0</v>
      </c>
      <c r="AL50" s="20">
        <f t="shared" si="93"/>
        <v>0</v>
      </c>
      <c r="AM50" s="20">
        <f t="shared" si="21"/>
        <v>0</v>
      </c>
      <c r="AN50" s="50">
        <f>+AP33</f>
        <v>5421411.7783333398</v>
      </c>
      <c r="AO50" s="78" t="str">
        <f t="shared" si="106"/>
        <v/>
      </c>
      <c r="AP50" s="215"/>
      <c r="AQ50" s="2"/>
      <c r="AR50" s="9"/>
    </row>
    <row r="51" spans="1:44" x14ac:dyDescent="0.25">
      <c r="A51" s="211"/>
      <c r="B51" s="211"/>
      <c r="C51" s="211"/>
      <c r="D51" s="211"/>
      <c r="E51" s="56">
        <v>4</v>
      </c>
      <c r="F51" s="2">
        <f>+H38</f>
        <v>46</v>
      </c>
      <c r="G51" s="56">
        <v>1</v>
      </c>
      <c r="H51" s="2">
        <f t="shared" si="107"/>
        <v>47.39</v>
      </c>
      <c r="I51" s="2">
        <f t="shared" si="107"/>
        <v>80</v>
      </c>
      <c r="J51" s="18">
        <f>+(F51-H51)/I51</f>
        <v>-1.7375000000000008E-2</v>
      </c>
      <c r="K51" s="2">
        <f t="shared" ref="K51" si="109">+K50</f>
        <v>158</v>
      </c>
      <c r="L51" s="15">
        <f t="shared" si="8"/>
        <v>5.1920402377148429</v>
      </c>
      <c r="M51" s="33">
        <f t="shared" si="94"/>
        <v>5.1920402377148428E-3</v>
      </c>
      <c r="N51" s="33">
        <f t="shared" si="32"/>
        <v>0</v>
      </c>
      <c r="O51" s="33">
        <f t="shared" si="1"/>
        <v>0</v>
      </c>
      <c r="P51" s="58">
        <f t="shared" si="10"/>
        <v>0</v>
      </c>
      <c r="Q51" s="55" t="str">
        <f>IF(O51&gt;0,VLOOKUP(P51,'$ alcantarillado'!$I$5:$L$22,4,FALSE),"0")</f>
        <v>0</v>
      </c>
      <c r="R51" s="55" t="str">
        <f t="shared" si="2"/>
        <v/>
      </c>
      <c r="S51" s="35">
        <f t="shared" si="26"/>
        <v>0</v>
      </c>
      <c r="T51" s="58">
        <f>+IF(S51&gt;$B$13,VLOOKUP(P51,'$ alcantarillado'!$I$6:$N$22,5),P51)</f>
        <v>0</v>
      </c>
      <c r="U51" s="55" t="str">
        <f>IF(O51&gt;0,VLOOKUP(T51,'$ alcantarillado'!$I$5:$L$22,4),"0")</f>
        <v>0</v>
      </c>
      <c r="V51" s="55" t="str">
        <f t="shared" si="33"/>
        <v/>
      </c>
      <c r="W51" s="35">
        <f t="shared" si="4"/>
        <v>0</v>
      </c>
      <c r="X51" s="35" t="str">
        <f t="shared" si="95"/>
        <v/>
      </c>
      <c r="Y51" s="55" t="str">
        <f>IF(T51&gt;0,(VLOOKUP($W51,Relaciones!$A$4:$D$108,2)),"")</f>
        <v/>
      </c>
      <c r="Z51" s="35" t="str">
        <f t="shared" si="96"/>
        <v/>
      </c>
      <c r="AA51" s="35" t="str">
        <f t="shared" si="97"/>
        <v/>
      </c>
      <c r="AB51" s="46" t="str">
        <f t="shared" si="98"/>
        <v/>
      </c>
      <c r="AC51" s="46" t="str">
        <f t="shared" si="99"/>
        <v/>
      </c>
      <c r="AD51" s="46" t="str">
        <f t="shared" si="100"/>
        <v/>
      </c>
      <c r="AE51" s="48">
        <f t="shared" si="101"/>
        <v>0</v>
      </c>
      <c r="AF51" s="48">
        <f t="shared" si="102"/>
        <v>0</v>
      </c>
      <c r="AG51" s="48">
        <f t="shared" si="103"/>
        <v>0</v>
      </c>
      <c r="AH51" s="48">
        <f t="shared" si="104"/>
        <v>0</v>
      </c>
      <c r="AI51" s="46">
        <f t="shared" si="105"/>
        <v>0</v>
      </c>
      <c r="AJ51" s="20">
        <f>IF(AI51&gt;0,I51*VLOOKUP(T51,'$ alcantarillado'!$I$6:$K$22,3),0)</f>
        <v>0</v>
      </c>
      <c r="AK51" s="20">
        <f t="shared" si="92"/>
        <v>0</v>
      </c>
      <c r="AL51" s="20">
        <f t="shared" si="93"/>
        <v>0</v>
      </c>
      <c r="AM51" s="20">
        <f t="shared" si="21"/>
        <v>0</v>
      </c>
      <c r="AN51" s="50">
        <f>+AP38</f>
        <v>5653611.7783333398</v>
      </c>
      <c r="AO51" s="78" t="str">
        <f t="shared" si="106"/>
        <v/>
      </c>
      <c r="AP51" s="215"/>
      <c r="AQ51" s="2"/>
      <c r="AR51" s="9"/>
    </row>
    <row r="52" spans="1:44" ht="15.75" thickBot="1" x14ac:dyDescent="0.3">
      <c r="A52" s="211"/>
      <c r="B52" s="211"/>
      <c r="C52" s="211"/>
      <c r="D52" s="211"/>
      <c r="E52" s="6">
        <v>5</v>
      </c>
      <c r="F52" s="16">
        <f>+H43</f>
        <v>45.5</v>
      </c>
      <c r="G52" s="6">
        <v>1</v>
      </c>
      <c r="H52" s="10">
        <f t="shared" si="107"/>
        <v>47.39</v>
      </c>
      <c r="I52" s="10">
        <f>+I51</f>
        <v>80</v>
      </c>
      <c r="J52" s="19">
        <f t="shared" si="7"/>
        <v>-2.3625000000000007E-2</v>
      </c>
      <c r="K52" s="10">
        <f>+K51</f>
        <v>158</v>
      </c>
      <c r="L52" s="16">
        <f t="shared" si="8"/>
        <v>5.1920402377148429</v>
      </c>
      <c r="M52" s="34">
        <f t="shared" si="94"/>
        <v>5.1920402377148428E-3</v>
      </c>
      <c r="N52" s="34">
        <f t="shared" si="32"/>
        <v>0</v>
      </c>
      <c r="O52" s="34">
        <f t="shared" si="1"/>
        <v>0</v>
      </c>
      <c r="P52" s="59">
        <f t="shared" si="10"/>
        <v>0</v>
      </c>
      <c r="Q52" s="55" t="str">
        <f>IF(O52&gt;0,VLOOKUP(P52,'$ alcantarillado'!$I$5:$L$22,4,FALSE),"0")</f>
        <v>0</v>
      </c>
      <c r="R52" s="55" t="str">
        <f t="shared" si="2"/>
        <v/>
      </c>
      <c r="S52" s="35">
        <f t="shared" si="26"/>
        <v>0</v>
      </c>
      <c r="T52" s="58">
        <f>+IF(S52&gt;$B$13,VLOOKUP(P52,'$ alcantarillado'!$I$6:$N$22,5),P52)</f>
        <v>0</v>
      </c>
      <c r="U52" s="55" t="str">
        <f>IF(O52&gt;0,VLOOKUP(T52,'$ alcantarillado'!$I$5:$L$22,4),"0")</f>
        <v>0</v>
      </c>
      <c r="V52" s="55" t="str">
        <f t="shared" si="33"/>
        <v/>
      </c>
      <c r="W52" s="35">
        <f t="shared" si="4"/>
        <v>0</v>
      </c>
      <c r="X52" s="35" t="str">
        <f t="shared" si="95"/>
        <v/>
      </c>
      <c r="Y52" s="55" t="str">
        <f>IF(T52&gt;0,(VLOOKUP($W52,Relaciones!$A$4:$D$108,2)),"")</f>
        <v/>
      </c>
      <c r="Z52" s="35" t="str">
        <f t="shared" si="96"/>
        <v/>
      </c>
      <c r="AA52" s="35" t="str">
        <f t="shared" si="97"/>
        <v/>
      </c>
      <c r="AB52" s="46" t="str">
        <f t="shared" si="98"/>
        <v/>
      </c>
      <c r="AC52" s="46" t="str">
        <f t="shared" si="99"/>
        <v/>
      </c>
      <c r="AD52" s="46" t="str">
        <f t="shared" si="100"/>
        <v/>
      </c>
      <c r="AE52" s="48">
        <f t="shared" si="101"/>
        <v>0</v>
      </c>
      <c r="AF52" s="48">
        <f t="shared" si="102"/>
        <v>0</v>
      </c>
      <c r="AG52" s="48">
        <f t="shared" si="103"/>
        <v>0</v>
      </c>
      <c r="AH52" s="48">
        <f t="shared" si="104"/>
        <v>0</v>
      </c>
      <c r="AI52" s="46">
        <f t="shared" si="105"/>
        <v>0</v>
      </c>
      <c r="AJ52" s="22">
        <f>IF(AI52&gt;0,I52*VLOOKUP(T52,'$ alcantarillado'!$I$6:$K$22,3),0)</f>
        <v>0</v>
      </c>
      <c r="AK52" s="20">
        <f t="shared" si="92"/>
        <v>0</v>
      </c>
      <c r="AL52" s="20">
        <f t="shared" si="93"/>
        <v>0</v>
      </c>
      <c r="AM52" s="22">
        <f t="shared" si="21"/>
        <v>0</v>
      </c>
      <c r="AN52" s="50">
        <f>+AP43</f>
        <v>5885811.7783333398</v>
      </c>
      <c r="AO52" s="79" t="str">
        <f t="shared" si="106"/>
        <v/>
      </c>
      <c r="AP52" s="216"/>
      <c r="AQ52" s="10"/>
      <c r="AR52" s="11"/>
    </row>
    <row r="53" spans="1:44" x14ac:dyDescent="0.25">
      <c r="A53" s="211"/>
      <c r="B53" s="211"/>
      <c r="C53" s="211"/>
      <c r="D53" s="211"/>
      <c r="E53" s="4">
        <v>1</v>
      </c>
      <c r="F53" s="7">
        <f>+H23</f>
        <v>47.5</v>
      </c>
      <c r="G53" s="4">
        <v>2</v>
      </c>
      <c r="H53" s="2">
        <f>+H48-$B$4</f>
        <v>46.89</v>
      </c>
      <c r="I53" s="2">
        <f>+I52</f>
        <v>80</v>
      </c>
      <c r="J53" s="18">
        <f>+(F53-H53)/I53</f>
        <v>7.6249999999999929E-3</v>
      </c>
      <c r="K53" s="2">
        <f>+K52</f>
        <v>158</v>
      </c>
      <c r="L53" s="14">
        <f>IF(K53&lt;38,K53^0.3686*0.7401,IF(K53&lt;235,K53^0.4193*0.6215,IF(K53&lt;932,K53*0.0092+4.2493,K53*0.0069+6.7345)))</f>
        <v>5.1920402377148429</v>
      </c>
      <c r="M53" s="31">
        <f>+L53/1000</f>
        <v>5.1920402377148428E-3</v>
      </c>
      <c r="N53" s="31">
        <f t="shared" ref="N53:N116" si="110">+IF(J53&gt;0,((M53*$B$2*(4^(5/3))/((J53^0.5)*PI()*$B$6))^(3/8)),0)</f>
        <v>9.5540627508621162E-2</v>
      </c>
      <c r="O53" s="31">
        <f t="shared" si="1"/>
        <v>3.7614420278984713</v>
      </c>
      <c r="P53" s="57">
        <f t="shared" si="10"/>
        <v>6</v>
      </c>
      <c r="Q53" s="60">
        <f>IF(O53&gt;0,VLOOKUP(P53,'$ alcantarillado'!$I$5:$L$22,4,FALSE),"0")</f>
        <v>0.14499999999999999</v>
      </c>
      <c r="R53" s="60">
        <f t="shared" si="2"/>
        <v>1.5793721798551638E-2</v>
      </c>
      <c r="S53" s="27">
        <f t="shared" si="26"/>
        <v>0.32874076825837079</v>
      </c>
      <c r="T53" s="57">
        <f>+IF(S53&gt;$B$13,VLOOKUP(P53,'$ alcantarillado'!$I$6:$N$22,5),P53)</f>
        <v>6</v>
      </c>
      <c r="U53" s="60">
        <f>IF(O53&gt;0,VLOOKUP(T53,'$ alcantarillado'!$I$5:$L$22,4),"0")</f>
        <v>0.14499999999999999</v>
      </c>
      <c r="V53" s="60">
        <f t="shared" ref="V53:V116" si="111">IF(T53&gt;0,PI()*((U53)^(8/3))*((J53)^0.5)/($B$2*4^(5/3)),"")</f>
        <v>1.5793721798551638E-2</v>
      </c>
      <c r="W53" s="27">
        <f t="shared" si="4"/>
        <v>0.32874076825837079</v>
      </c>
      <c r="X53" s="27">
        <f>IF(T53&gt;0,4*V53/(PI()*(U53)^2),"")</f>
        <v>0.95644190974847587</v>
      </c>
      <c r="Y53" s="60">
        <f>IF(T53&gt;0,(VLOOKUP($W53,Relaciones!$A$4:$D$108,2)),"")</f>
        <v>0.74</v>
      </c>
      <c r="Z53" s="27">
        <f>IF(T53&gt;0,Y53*X53,"")</f>
        <v>0.70776701321387214</v>
      </c>
      <c r="AA53" s="27">
        <f>IF(T53&gt;0,250*U53*J53,"")</f>
        <v>0.27640624999999974</v>
      </c>
      <c r="AB53" s="45" t="str">
        <f>IF(T53&gt;0,IF(W53&lt;=$B$13,"OK","No Cumple"),"")</f>
        <v>OK</v>
      </c>
      <c r="AC53" s="45" t="str">
        <f>IF(T53&gt;0,IF(Z53&gt;=$B$12,"OK","No Cumple"),"")</f>
        <v>OK</v>
      </c>
      <c r="AD53" s="45" t="str">
        <f>IF(T53&gt;0,IF(AA53&gt;$B$14,"OK","No Cumple"),"")</f>
        <v>OK</v>
      </c>
      <c r="AE53" s="32">
        <f>+IF(AB53="OK",1,0)</f>
        <v>1</v>
      </c>
      <c r="AF53" s="32">
        <f>+IF(AC53="OK",1,0)</f>
        <v>1</v>
      </c>
      <c r="AG53" s="32">
        <f>+IF(AD53="OK",1,0)</f>
        <v>1</v>
      </c>
      <c r="AH53" s="32">
        <f>SUM(AE53:AG53)</f>
        <v>3</v>
      </c>
      <c r="AI53" s="45">
        <f>IF(AH53=3,2*$B$7+U53,0)</f>
        <v>0.64500000000000002</v>
      </c>
      <c r="AJ53" s="21">
        <f>IF(AI53&gt;0,I53*VLOOKUP(T53,'$ alcantarillado'!$I$6:$K$22,3),0)</f>
        <v>1912173.3333333335</v>
      </c>
      <c r="AK53" s="21">
        <f t="shared" si="92"/>
        <v>2802654.0000000047</v>
      </c>
      <c r="AL53" s="21">
        <f t="shared" si="93"/>
        <v>1287774.9450000019</v>
      </c>
      <c r="AM53" s="21">
        <f>IF(AJ53&gt;0,AJ53+AK53+AL53,0)</f>
        <v>6002602.2783333398</v>
      </c>
      <c r="AN53" s="49">
        <f>IF(AP23&gt;0,+AP23,0)</f>
        <v>4957011.7783333398</v>
      </c>
      <c r="AO53" s="67">
        <f>IF((AM53)&gt;0,IF(AN53&gt;0,AM53+AN53,""),"")</f>
        <v>10959614.05666668</v>
      </c>
      <c r="AP53" s="221">
        <f>+MIN(AO53:AO57)</f>
        <v>10959614.05666668</v>
      </c>
      <c r="AQ53" s="2"/>
      <c r="AR53" s="9"/>
    </row>
    <row r="54" spans="1:44" x14ac:dyDescent="0.25">
      <c r="A54" s="211"/>
      <c r="B54" s="211"/>
      <c r="C54" s="211"/>
      <c r="D54" s="211"/>
      <c r="E54" s="5">
        <v>2</v>
      </c>
      <c r="F54" s="2">
        <f>+H28</f>
        <v>47</v>
      </c>
      <c r="G54" s="5">
        <v>2</v>
      </c>
      <c r="H54" s="2">
        <f>+H53</f>
        <v>46.89</v>
      </c>
      <c r="I54" s="2">
        <f>+I53</f>
        <v>80</v>
      </c>
      <c r="J54" s="18">
        <f t="shared" si="7"/>
        <v>1.374999999999993E-3</v>
      </c>
      <c r="K54" s="2">
        <f>+K53</f>
        <v>158</v>
      </c>
      <c r="L54" s="15">
        <f t="shared" si="8"/>
        <v>5.1920402377148429</v>
      </c>
      <c r="M54" s="33">
        <f t="shared" ref="M54:M57" si="112">+L54/1000</f>
        <v>5.1920402377148428E-3</v>
      </c>
      <c r="N54" s="33">
        <f t="shared" si="110"/>
        <v>0.1317274561340005</v>
      </c>
      <c r="O54" s="33">
        <f t="shared" si="1"/>
        <v>5.18612032023624</v>
      </c>
      <c r="P54" s="58">
        <f t="shared" si="10"/>
        <v>6</v>
      </c>
      <c r="Q54" s="55">
        <f>IF(O54&gt;0,VLOOKUP(P54,'$ alcantarillado'!$I$5:$L$22,4,FALSE),"0")</f>
        <v>0.14499999999999999</v>
      </c>
      <c r="R54" s="55">
        <f t="shared" si="2"/>
        <v>6.7068085429640217E-3</v>
      </c>
      <c r="S54" s="35">
        <f t="shared" si="26"/>
        <v>0.77414469258433027</v>
      </c>
      <c r="T54" s="58">
        <f>+IF(S54&gt;$B$13,VLOOKUP(P54,'$ alcantarillado'!$I$6:$N$22,5),P54)</f>
        <v>6</v>
      </c>
      <c r="U54" s="55">
        <f>IF(O54&gt;0,VLOOKUP(T54,'$ alcantarillado'!$I$5:$L$22,4),"0")</f>
        <v>0.14499999999999999</v>
      </c>
      <c r="V54" s="55">
        <f t="shared" si="111"/>
        <v>6.7068085429640217E-3</v>
      </c>
      <c r="W54" s="35">
        <f t="shared" si="4"/>
        <v>0.77414469258433027</v>
      </c>
      <c r="X54" s="35">
        <f t="shared" ref="X54:X57" si="113">IF(T54&gt;0,4*V54/(PI()*(U54)^2),"")</f>
        <v>0.4061533344052039</v>
      </c>
      <c r="Y54" s="55">
        <f>IF(T54&gt;0,(VLOOKUP($W54,Relaciones!$A$4:$D$108,2)),"")</f>
        <v>0.97199999999999998</v>
      </c>
      <c r="Z54" s="35">
        <f t="shared" ref="Z54:Z57" si="114">IF(T54&gt;0,Y54*X54,"")</f>
        <v>0.39478104104185818</v>
      </c>
      <c r="AA54" s="35">
        <f t="shared" ref="AA54:AA57" si="115">IF(T54&gt;0,250*U54*J54,"")</f>
        <v>4.9843749999999742E-2</v>
      </c>
      <c r="AB54" s="46" t="str">
        <f t="shared" ref="AB54:AB57" si="116">IF(T54&gt;0,IF(W54&lt;=$B$13,"OK","No Cumple"),"")</f>
        <v>OK</v>
      </c>
      <c r="AC54" s="46" t="str">
        <f t="shared" ref="AC54:AC57" si="117">IF(T54&gt;0,IF(Z54&gt;=$B$12,"OK","No Cumple"),"")</f>
        <v>No Cumple</v>
      </c>
      <c r="AD54" s="46" t="str">
        <f t="shared" ref="AD54:AD57" si="118">IF(T54&gt;0,IF(AA54&gt;$B$14,"OK","No Cumple"),"")</f>
        <v>No Cumple</v>
      </c>
      <c r="AE54" s="48">
        <f t="shared" ref="AE54:AE57" si="119">+IF(AB54="OK",1,0)</f>
        <v>1</v>
      </c>
      <c r="AF54" s="48">
        <f t="shared" ref="AF54:AF57" si="120">+IF(AC54="OK",1,0)</f>
        <v>0</v>
      </c>
      <c r="AG54" s="48">
        <f t="shared" ref="AG54:AG57" si="121">+IF(AD54="OK",1,0)</f>
        <v>0</v>
      </c>
      <c r="AH54" s="48">
        <f t="shared" ref="AH54:AH57" si="122">SUM(AE54:AG54)</f>
        <v>1</v>
      </c>
      <c r="AI54" s="46">
        <f t="shared" ref="AI54:AI57" si="123">IF(AH54=3,2*$B$7+U54,0)</f>
        <v>0</v>
      </c>
      <c r="AJ54" s="20">
        <f>IF(AI54&gt;0,I54*VLOOKUP(T54,'$ alcantarillado'!$I$6:$K$22,3),0)</f>
        <v>0</v>
      </c>
      <c r="AK54" s="20">
        <f t="shared" si="92"/>
        <v>0</v>
      </c>
      <c r="AL54" s="20">
        <f t="shared" si="93"/>
        <v>0</v>
      </c>
      <c r="AM54" s="20">
        <f t="shared" si="21"/>
        <v>0</v>
      </c>
      <c r="AN54" s="50">
        <f>+AP28</f>
        <v>5189211.7783333398</v>
      </c>
      <c r="AO54" s="78" t="str">
        <f t="shared" si="106"/>
        <v/>
      </c>
      <c r="AP54" s="222"/>
      <c r="AQ54" s="2"/>
      <c r="AR54" s="9"/>
    </row>
    <row r="55" spans="1:44" x14ac:dyDescent="0.25">
      <c r="A55" s="211"/>
      <c r="B55" s="211"/>
      <c r="C55" s="211"/>
      <c r="D55" s="211"/>
      <c r="E55" s="56">
        <v>3</v>
      </c>
      <c r="F55" s="2">
        <f>+H33</f>
        <v>46.5</v>
      </c>
      <c r="G55" s="56">
        <v>2</v>
      </c>
      <c r="H55" s="2">
        <f t="shared" ref="H55:I55" si="124">+H54</f>
        <v>46.89</v>
      </c>
      <c r="I55" s="2">
        <f t="shared" si="124"/>
        <v>80</v>
      </c>
      <c r="J55" s="18">
        <f t="shared" si="7"/>
        <v>-4.8750000000000069E-3</v>
      </c>
      <c r="K55" s="2">
        <f t="shared" ref="K55:K56" si="125">+K54</f>
        <v>158</v>
      </c>
      <c r="L55" s="15">
        <f t="shared" si="8"/>
        <v>5.1920402377148429</v>
      </c>
      <c r="M55" s="33">
        <f t="shared" si="112"/>
        <v>5.1920402377148428E-3</v>
      </c>
      <c r="N55" s="33">
        <f t="shared" si="110"/>
        <v>0</v>
      </c>
      <c r="O55" s="33">
        <f t="shared" ref="O55:O86" si="126">+N55*(100/2.54)</f>
        <v>0</v>
      </c>
      <c r="P55" s="58">
        <f t="shared" si="10"/>
        <v>0</v>
      </c>
      <c r="Q55" s="55" t="str">
        <f>IF(O55&gt;0,VLOOKUP(P55,'$ alcantarillado'!$I$5:$L$22,4,FALSE),"0")</f>
        <v>0</v>
      </c>
      <c r="R55" s="55" t="str">
        <f t="shared" ref="R55:R86" si="127">IF(P55&gt;0,PI()*((Q55)^(8/3))*((J55)^0.5)/($B$2*4^(5/3)),"")</f>
        <v/>
      </c>
      <c r="S55" s="35">
        <f t="shared" ref="S55:S86" si="128">IF(P55&gt;0,+M55/R55,0)</f>
        <v>0</v>
      </c>
      <c r="T55" s="58">
        <f>+IF(S55&gt;$B$13,VLOOKUP(P55,'$ alcantarillado'!$I$6:$N$22,5),P55)</f>
        <v>0</v>
      </c>
      <c r="U55" s="55" t="str">
        <f>IF(O55&gt;0,VLOOKUP(T55,'$ alcantarillado'!$I$5:$L$22,4),"0")</f>
        <v>0</v>
      </c>
      <c r="V55" s="55" t="str">
        <f t="shared" si="111"/>
        <v/>
      </c>
      <c r="W55" s="35">
        <f t="shared" ref="W55:W86" si="129">IF(T55&gt;0,M55/V55,0)</f>
        <v>0</v>
      </c>
      <c r="X55" s="35" t="str">
        <f t="shared" si="113"/>
        <v/>
      </c>
      <c r="Y55" s="55" t="str">
        <f>IF(T55&gt;0,(VLOOKUP($W55,Relaciones!$A$4:$D$108,2)),"")</f>
        <v/>
      </c>
      <c r="Z55" s="35" t="str">
        <f t="shared" si="114"/>
        <v/>
      </c>
      <c r="AA55" s="35" t="str">
        <f t="shared" si="115"/>
        <v/>
      </c>
      <c r="AB55" s="46" t="str">
        <f t="shared" si="116"/>
        <v/>
      </c>
      <c r="AC55" s="46" t="str">
        <f t="shared" si="117"/>
        <v/>
      </c>
      <c r="AD55" s="46" t="str">
        <f t="shared" si="118"/>
        <v/>
      </c>
      <c r="AE55" s="48">
        <f t="shared" si="119"/>
        <v>0</v>
      </c>
      <c r="AF55" s="48">
        <f t="shared" si="120"/>
        <v>0</v>
      </c>
      <c r="AG55" s="48">
        <f t="shared" si="121"/>
        <v>0</v>
      </c>
      <c r="AH55" s="48">
        <f t="shared" si="122"/>
        <v>0</v>
      </c>
      <c r="AI55" s="46">
        <f t="shared" si="123"/>
        <v>0</v>
      </c>
      <c r="AJ55" s="20">
        <f>IF(AI55&gt;0,I55*VLOOKUP(T55,'$ alcantarillado'!$I$6:$K$22,3),0)</f>
        <v>0</v>
      </c>
      <c r="AK55" s="20">
        <f t="shared" si="92"/>
        <v>0</v>
      </c>
      <c r="AL55" s="20">
        <f t="shared" si="93"/>
        <v>0</v>
      </c>
      <c r="AM55" s="20">
        <f t="shared" si="21"/>
        <v>0</v>
      </c>
      <c r="AN55" s="50">
        <f>+AP33</f>
        <v>5421411.7783333398</v>
      </c>
      <c r="AO55" s="78" t="str">
        <f t="shared" si="106"/>
        <v/>
      </c>
      <c r="AP55" s="223"/>
      <c r="AQ55" s="2">
        <v>1</v>
      </c>
      <c r="AR55" s="9">
        <v>2</v>
      </c>
    </row>
    <row r="56" spans="1:44" x14ac:dyDescent="0.25">
      <c r="A56" s="211"/>
      <c r="B56" s="211"/>
      <c r="C56" s="211"/>
      <c r="D56" s="211"/>
      <c r="E56" s="56">
        <v>4</v>
      </c>
      <c r="F56" s="2">
        <f>+H38</f>
        <v>46</v>
      </c>
      <c r="G56" s="56">
        <v>2</v>
      </c>
      <c r="H56" s="2">
        <f t="shared" ref="H56:I56" si="130">+H55</f>
        <v>46.89</v>
      </c>
      <c r="I56" s="2">
        <f t="shared" si="130"/>
        <v>80</v>
      </c>
      <c r="J56" s="18">
        <f>+(F56-H56)/I56</f>
        <v>-1.1125000000000006E-2</v>
      </c>
      <c r="K56" s="2">
        <f t="shared" si="125"/>
        <v>158</v>
      </c>
      <c r="L56" s="15">
        <f t="shared" si="8"/>
        <v>5.1920402377148429</v>
      </c>
      <c r="M56" s="33">
        <f t="shared" si="112"/>
        <v>5.1920402377148428E-3</v>
      </c>
      <c r="N56" s="33">
        <f t="shared" si="110"/>
        <v>0</v>
      </c>
      <c r="O56" s="33">
        <f t="shared" si="126"/>
        <v>0</v>
      </c>
      <c r="P56" s="58">
        <f t="shared" si="10"/>
        <v>0</v>
      </c>
      <c r="Q56" s="55" t="str">
        <f>IF(O56&gt;0,VLOOKUP(P56,'$ alcantarillado'!$I$5:$L$22,4,FALSE),"0")</f>
        <v>0</v>
      </c>
      <c r="R56" s="55" t="str">
        <f t="shared" si="127"/>
        <v/>
      </c>
      <c r="S56" s="35">
        <f t="shared" si="128"/>
        <v>0</v>
      </c>
      <c r="T56" s="58">
        <f>+IF(S56&gt;$B$13,VLOOKUP(P56,'$ alcantarillado'!$I$6:$N$22,5),P56)</f>
        <v>0</v>
      </c>
      <c r="U56" s="55" t="str">
        <f>IF(O56&gt;0,VLOOKUP(T56,'$ alcantarillado'!$I$5:$L$22,4),"0")</f>
        <v>0</v>
      </c>
      <c r="V56" s="55" t="str">
        <f t="shared" si="111"/>
        <v/>
      </c>
      <c r="W56" s="35">
        <f t="shared" si="129"/>
        <v>0</v>
      </c>
      <c r="X56" s="35" t="str">
        <f t="shared" si="113"/>
        <v/>
      </c>
      <c r="Y56" s="55" t="str">
        <f>IF(T56&gt;0,(VLOOKUP($W56,Relaciones!$A$4:$D$108,2)),"")</f>
        <v/>
      </c>
      <c r="Z56" s="35" t="str">
        <f t="shared" si="114"/>
        <v/>
      </c>
      <c r="AA56" s="35" t="str">
        <f t="shared" si="115"/>
        <v/>
      </c>
      <c r="AB56" s="46" t="str">
        <f t="shared" si="116"/>
        <v/>
      </c>
      <c r="AC56" s="46" t="str">
        <f t="shared" si="117"/>
        <v/>
      </c>
      <c r="AD56" s="46" t="str">
        <f t="shared" si="118"/>
        <v/>
      </c>
      <c r="AE56" s="48">
        <f t="shared" si="119"/>
        <v>0</v>
      </c>
      <c r="AF56" s="48">
        <f t="shared" si="120"/>
        <v>0</v>
      </c>
      <c r="AG56" s="48">
        <f t="shared" si="121"/>
        <v>0</v>
      </c>
      <c r="AH56" s="48">
        <f t="shared" si="122"/>
        <v>0</v>
      </c>
      <c r="AI56" s="46">
        <f t="shared" si="123"/>
        <v>0</v>
      </c>
      <c r="AJ56" s="20">
        <f>IF(AI56&gt;0,I56*VLOOKUP(T56,'$ alcantarillado'!$I$6:$K$22,3),0)</f>
        <v>0</v>
      </c>
      <c r="AK56" s="20">
        <f t="shared" si="92"/>
        <v>0</v>
      </c>
      <c r="AL56" s="20">
        <f t="shared" si="93"/>
        <v>0</v>
      </c>
      <c r="AM56" s="20">
        <f t="shared" si="21"/>
        <v>0</v>
      </c>
      <c r="AN56" s="50">
        <f>+AP38</f>
        <v>5653611.7783333398</v>
      </c>
      <c r="AO56" s="78" t="str">
        <f t="shared" si="106"/>
        <v/>
      </c>
      <c r="AP56" s="223"/>
      <c r="AQ56" s="2"/>
      <c r="AR56" s="9"/>
    </row>
    <row r="57" spans="1:44" ht="15.75" thickBot="1" x14ac:dyDescent="0.3">
      <c r="A57" s="211"/>
      <c r="B57" s="211"/>
      <c r="C57" s="211"/>
      <c r="D57" s="211"/>
      <c r="E57" s="6">
        <v>5</v>
      </c>
      <c r="F57" s="16">
        <f>+H43</f>
        <v>45.5</v>
      </c>
      <c r="G57" s="6">
        <v>2</v>
      </c>
      <c r="H57" s="10">
        <f>+H56</f>
        <v>46.89</v>
      </c>
      <c r="I57" s="10">
        <f>+I56</f>
        <v>80</v>
      </c>
      <c r="J57" s="19">
        <f t="shared" si="7"/>
        <v>-1.7375000000000008E-2</v>
      </c>
      <c r="K57" s="10">
        <f>+K56</f>
        <v>158</v>
      </c>
      <c r="L57" s="16">
        <f t="shared" si="8"/>
        <v>5.1920402377148429</v>
      </c>
      <c r="M57" s="34">
        <f t="shared" si="112"/>
        <v>5.1920402377148428E-3</v>
      </c>
      <c r="N57" s="34">
        <f t="shared" si="110"/>
        <v>0</v>
      </c>
      <c r="O57" s="34">
        <f t="shared" si="126"/>
        <v>0</v>
      </c>
      <c r="P57" s="59">
        <f t="shared" si="10"/>
        <v>0</v>
      </c>
      <c r="Q57" s="55" t="str">
        <f>IF(O57&gt;0,VLOOKUP(P57,'$ alcantarillado'!$I$5:$L$22,4,FALSE),"0")</f>
        <v>0</v>
      </c>
      <c r="R57" s="47" t="str">
        <f t="shared" si="127"/>
        <v/>
      </c>
      <c r="S57" s="35">
        <f t="shared" si="128"/>
        <v>0</v>
      </c>
      <c r="T57" s="58">
        <f>+IF(S57&gt;$B$13,VLOOKUP(P57,'$ alcantarillado'!$I$6:$N$22,5),P57)</f>
        <v>0</v>
      </c>
      <c r="U57" s="55" t="str">
        <f>IF(O57&gt;0,VLOOKUP(T57,'$ alcantarillado'!$I$5:$L$22,4),"0")</f>
        <v>0</v>
      </c>
      <c r="V57" s="55" t="str">
        <f t="shared" si="111"/>
        <v/>
      </c>
      <c r="W57" s="35">
        <f t="shared" si="129"/>
        <v>0</v>
      </c>
      <c r="X57" s="35" t="str">
        <f t="shared" si="113"/>
        <v/>
      </c>
      <c r="Y57" s="55" t="str">
        <f>IF(T57&gt;0,(VLOOKUP($W57,Relaciones!$A$4:$D$108,2)),"")</f>
        <v/>
      </c>
      <c r="Z57" s="35" t="str">
        <f t="shared" si="114"/>
        <v/>
      </c>
      <c r="AA57" s="35" t="str">
        <f t="shared" si="115"/>
        <v/>
      </c>
      <c r="AB57" s="46" t="str">
        <f t="shared" si="116"/>
        <v/>
      </c>
      <c r="AC57" s="46" t="str">
        <f t="shared" si="117"/>
        <v/>
      </c>
      <c r="AD57" s="46" t="str">
        <f t="shared" si="118"/>
        <v/>
      </c>
      <c r="AE57" s="48">
        <f t="shared" si="119"/>
        <v>0</v>
      </c>
      <c r="AF57" s="48">
        <f t="shared" si="120"/>
        <v>0</v>
      </c>
      <c r="AG57" s="48">
        <f t="shared" si="121"/>
        <v>0</v>
      </c>
      <c r="AH57" s="48">
        <f t="shared" si="122"/>
        <v>0</v>
      </c>
      <c r="AI57" s="46">
        <f t="shared" si="123"/>
        <v>0</v>
      </c>
      <c r="AJ57" s="22">
        <f>IF(AI57&gt;0,I57*VLOOKUP(T57,'$ alcantarillado'!$I$6:$K$22,3),0)</f>
        <v>0</v>
      </c>
      <c r="AK57" s="20">
        <f t="shared" si="92"/>
        <v>0</v>
      </c>
      <c r="AL57" s="20">
        <f t="shared" si="93"/>
        <v>0</v>
      </c>
      <c r="AM57" s="22">
        <f t="shared" si="21"/>
        <v>0</v>
      </c>
      <c r="AN57" s="51">
        <f>+AP43</f>
        <v>5885811.7783333398</v>
      </c>
      <c r="AO57" s="79" t="str">
        <f t="shared" si="106"/>
        <v/>
      </c>
      <c r="AP57" s="224"/>
      <c r="AQ57" s="10"/>
      <c r="AR57" s="11"/>
    </row>
    <row r="58" spans="1:44" x14ac:dyDescent="0.25">
      <c r="A58" s="211"/>
      <c r="B58" s="211"/>
      <c r="C58" s="211"/>
      <c r="D58" s="211"/>
      <c r="E58" s="4">
        <v>1</v>
      </c>
      <c r="F58" s="7">
        <f>+H23</f>
        <v>47.5</v>
      </c>
      <c r="G58" s="4">
        <v>3</v>
      </c>
      <c r="H58" s="7">
        <f>+H53-$B$4</f>
        <v>46.39</v>
      </c>
      <c r="I58" s="7">
        <f t="shared" ref="I58" si="131">+I57</f>
        <v>80</v>
      </c>
      <c r="J58" s="18">
        <f>+(F58-H58)/I58</f>
        <v>1.3874999999999993E-2</v>
      </c>
      <c r="K58" s="7">
        <f t="shared" ref="K58" si="132">+K57</f>
        <v>158</v>
      </c>
      <c r="L58" s="14">
        <f>IF(K58&lt;38,K58^0.3686*0.7401,IF(K58&lt;235,K58^0.4193*0.6215,IF(K58&lt;932,K58*0.0092+4.2493,K58*0.0069+6.7345)))</f>
        <v>5.1920402377148429</v>
      </c>
      <c r="M58" s="31">
        <f>+L58/1000</f>
        <v>5.1920402377148428E-3</v>
      </c>
      <c r="N58" s="31">
        <f t="shared" si="110"/>
        <v>8.5396363058151126E-2</v>
      </c>
      <c r="O58" s="31">
        <f t="shared" si="126"/>
        <v>3.3620615377224854</v>
      </c>
      <c r="P58" s="57">
        <f t="shared" si="10"/>
        <v>6</v>
      </c>
      <c r="Q58" s="60">
        <f>IF(O58&gt;0,VLOOKUP(P58,'$ alcantarillado'!$I$5:$L$22,4,FALSE),"0")</f>
        <v>0.14499999999999999</v>
      </c>
      <c r="R58" s="60">
        <f t="shared" si="127"/>
        <v>2.130497631231059E-2</v>
      </c>
      <c r="S58" s="27">
        <f t="shared" si="128"/>
        <v>0.24370082189271161</v>
      </c>
      <c r="T58" s="57">
        <f>+IF(S58&gt;$B$13,VLOOKUP(P58,'$ alcantarillado'!$I$6:$N$22,5),P58)</f>
        <v>6</v>
      </c>
      <c r="U58" s="60">
        <f>IF(O58&gt;0,VLOOKUP(T58,'$ alcantarillado'!$I$5:$L$22,4),"0")</f>
        <v>0.14499999999999999</v>
      </c>
      <c r="V58" s="60">
        <f t="shared" si="111"/>
        <v>2.130497631231059E-2</v>
      </c>
      <c r="W58" s="27">
        <f t="shared" si="129"/>
        <v>0.24370082189271161</v>
      </c>
      <c r="X58" s="27">
        <f>IF(T58&gt;0,4*V58/(PI()*(U58)^2),"")</f>
        <v>1.2901944513902386</v>
      </c>
      <c r="Y58" s="60">
        <f>IF(T58&gt;0,(VLOOKUP($W58,Relaciones!$A$4:$D$108,2)),"")</f>
        <v>0.68700000000000006</v>
      </c>
      <c r="Z58" s="27">
        <f>IF(T58&gt;0,Y58*X58,"")</f>
        <v>0.88636358810509397</v>
      </c>
      <c r="AA58" s="27">
        <f>IF(T58&gt;0,250*U58*J58,"")</f>
        <v>0.50296874999999974</v>
      </c>
      <c r="AB58" s="45" t="str">
        <f>IF(T58&gt;0,IF(W58&lt;=$B$13,"OK","No Cumple"),"")</f>
        <v>OK</v>
      </c>
      <c r="AC58" s="45" t="str">
        <f>IF(T58&gt;0,IF(Z58&gt;=$B$12,"OK","No Cumple"),"")</f>
        <v>OK</v>
      </c>
      <c r="AD58" s="45" t="str">
        <f>IF(T58&gt;0,IF(AA58&gt;$B$14,"OK","No Cumple"),"")</f>
        <v>OK</v>
      </c>
      <c r="AE58" s="32">
        <f>+IF(AB58="OK",1,0)</f>
        <v>1</v>
      </c>
      <c r="AF58" s="32">
        <f>+IF(AC58="OK",1,0)</f>
        <v>1</v>
      </c>
      <c r="AG58" s="32">
        <f>+IF(AD58="OK",1,0)</f>
        <v>1</v>
      </c>
      <c r="AH58" s="32">
        <f>SUM(AE58:AG58)</f>
        <v>3</v>
      </c>
      <c r="AI58" s="45">
        <f>IF(AH58=3,2*$B$7+U58,0)</f>
        <v>0.64500000000000002</v>
      </c>
      <c r="AJ58" s="21">
        <f>IF(AI58&gt;0,I58*VLOOKUP(T58,'$ alcantarillado'!$I$6:$K$22,3),0)</f>
        <v>1912173.3333333335</v>
      </c>
      <c r="AK58" s="21">
        <f t="shared" si="92"/>
        <v>3034854.0000000042</v>
      </c>
      <c r="AL58" s="21">
        <f t="shared" si="93"/>
        <v>1287774.9450000019</v>
      </c>
      <c r="AM58" s="21">
        <f>IF(AJ58&gt;0,AJ58+AK58+AL58,0)</f>
        <v>6234802.2783333398</v>
      </c>
      <c r="AN58" s="49">
        <f>IF(AP23&gt;0,+AP23,0)</f>
        <v>4957011.7783333398</v>
      </c>
      <c r="AO58" s="77">
        <f>IF((AM58)&gt;0,IF(AN58&gt;0,AM58+AN58,""),"")</f>
        <v>11191814.05666668</v>
      </c>
      <c r="AP58" s="213">
        <f>+MIN(AO58:AO62)</f>
        <v>11191814.05666668</v>
      </c>
      <c r="AQ58" s="7"/>
      <c r="AR58" s="8"/>
    </row>
    <row r="59" spans="1:44" x14ac:dyDescent="0.25">
      <c r="A59" s="211"/>
      <c r="B59" s="211"/>
      <c r="C59" s="211"/>
      <c r="D59" s="211"/>
      <c r="E59" s="5">
        <v>2</v>
      </c>
      <c r="F59" s="2">
        <f>+H28</f>
        <v>47</v>
      </c>
      <c r="G59" s="5">
        <v>3</v>
      </c>
      <c r="H59" s="2">
        <f>+H58</f>
        <v>46.39</v>
      </c>
      <c r="I59" s="2">
        <f>+I58</f>
        <v>80</v>
      </c>
      <c r="J59" s="18">
        <f t="shared" si="7"/>
        <v>7.6249999999999929E-3</v>
      </c>
      <c r="K59" s="2">
        <f>+K58</f>
        <v>158</v>
      </c>
      <c r="L59" s="15">
        <f t="shared" si="8"/>
        <v>5.1920402377148429</v>
      </c>
      <c r="M59" s="33">
        <f t="shared" ref="M59:M62" si="133">+L59/1000</f>
        <v>5.1920402377148428E-3</v>
      </c>
      <c r="N59" s="33">
        <f t="shared" si="110"/>
        <v>9.5540627508621162E-2</v>
      </c>
      <c r="O59" s="33">
        <f t="shared" si="126"/>
        <v>3.7614420278984713</v>
      </c>
      <c r="P59" s="58">
        <f t="shared" si="10"/>
        <v>6</v>
      </c>
      <c r="Q59" s="55">
        <f>IF(O59&gt;0,VLOOKUP(P59,'$ alcantarillado'!$I$5:$L$22,4,FALSE),"0")</f>
        <v>0.14499999999999999</v>
      </c>
      <c r="R59" s="55">
        <f t="shared" si="127"/>
        <v>1.5793721798551638E-2</v>
      </c>
      <c r="S59" s="35">
        <f t="shared" si="128"/>
        <v>0.32874076825837079</v>
      </c>
      <c r="T59" s="58">
        <f>+IF(S59&gt;$B$13,VLOOKUP(P59,'$ alcantarillado'!$I$6:$N$22,5),P59)</f>
        <v>6</v>
      </c>
      <c r="U59" s="55">
        <f>IF(O59&gt;0,VLOOKUP(T59,'$ alcantarillado'!$I$5:$L$22,4),"0")</f>
        <v>0.14499999999999999</v>
      </c>
      <c r="V59" s="55">
        <f t="shared" si="111"/>
        <v>1.5793721798551638E-2</v>
      </c>
      <c r="W59" s="35">
        <f t="shared" si="129"/>
        <v>0.32874076825837079</v>
      </c>
      <c r="X59" s="35">
        <f t="shared" ref="X59:X62" si="134">IF(T59&gt;0,4*V59/(PI()*(U59)^2),"")</f>
        <v>0.95644190974847587</v>
      </c>
      <c r="Y59" s="55">
        <f>IF(T59&gt;0,(VLOOKUP($W59,Relaciones!$A$4:$D$108,2)),"")</f>
        <v>0.74</v>
      </c>
      <c r="Z59" s="35">
        <f t="shared" ref="Z59:Z62" si="135">IF(T59&gt;0,Y59*X59,"")</f>
        <v>0.70776701321387214</v>
      </c>
      <c r="AA59" s="35">
        <f t="shared" ref="AA59:AA62" si="136">IF(T59&gt;0,250*U59*J59,"")</f>
        <v>0.27640624999999974</v>
      </c>
      <c r="AB59" s="46" t="str">
        <f t="shared" ref="AB59:AB62" si="137">IF(T59&gt;0,IF(W59&lt;=$B$13,"OK","No Cumple"),"")</f>
        <v>OK</v>
      </c>
      <c r="AC59" s="46" t="str">
        <f t="shared" ref="AC59:AC62" si="138">IF(T59&gt;0,IF(Z59&gt;=$B$12,"OK","No Cumple"),"")</f>
        <v>OK</v>
      </c>
      <c r="AD59" s="46" t="str">
        <f t="shared" ref="AD59:AD62" si="139">IF(T59&gt;0,IF(AA59&gt;$B$14,"OK","No Cumple"),"")</f>
        <v>OK</v>
      </c>
      <c r="AE59" s="48">
        <f t="shared" ref="AE59:AE62" si="140">+IF(AB59="OK",1,0)</f>
        <v>1</v>
      </c>
      <c r="AF59" s="48">
        <f t="shared" ref="AF59:AF62" si="141">+IF(AC59="OK",1,0)</f>
        <v>1</v>
      </c>
      <c r="AG59" s="48">
        <f t="shared" ref="AG59:AG62" si="142">+IF(AD59="OK",1,0)</f>
        <v>1</v>
      </c>
      <c r="AH59" s="48">
        <f t="shared" ref="AH59:AH62" si="143">SUM(AE59:AG59)</f>
        <v>3</v>
      </c>
      <c r="AI59" s="46">
        <f t="shared" ref="AI59:AI62" si="144">IF(AH59=3,2*$B$7+U59,0)</f>
        <v>0.64500000000000002</v>
      </c>
      <c r="AJ59" s="20">
        <f>IF(AI59&gt;0,I59*VLOOKUP(T59,'$ alcantarillado'!$I$6:$K$22,3),0)</f>
        <v>1912173.3333333335</v>
      </c>
      <c r="AK59" s="20">
        <f t="shared" si="92"/>
        <v>3499254.0000000047</v>
      </c>
      <c r="AL59" s="20">
        <f t="shared" si="93"/>
        <v>1636765.4450000019</v>
      </c>
      <c r="AM59" s="20">
        <f t="shared" si="21"/>
        <v>7048192.7783333398</v>
      </c>
      <c r="AN59" s="50">
        <f>+AP28</f>
        <v>5189211.7783333398</v>
      </c>
      <c r="AO59" s="78">
        <f t="shared" si="106"/>
        <v>12237404.55666668</v>
      </c>
      <c r="AP59" s="214"/>
      <c r="AQ59" s="2"/>
      <c r="AR59" s="9"/>
    </row>
    <row r="60" spans="1:44" x14ac:dyDescent="0.25">
      <c r="A60" s="211"/>
      <c r="B60" s="211"/>
      <c r="C60" s="211"/>
      <c r="D60" s="211"/>
      <c r="E60" s="56">
        <v>3</v>
      </c>
      <c r="F60" s="2">
        <f>+H33</f>
        <v>46.5</v>
      </c>
      <c r="G60" s="56">
        <v>3</v>
      </c>
      <c r="H60" s="2">
        <f t="shared" ref="H60:I60" si="145">+H59</f>
        <v>46.39</v>
      </c>
      <c r="I60" s="2">
        <f t="shared" si="145"/>
        <v>80</v>
      </c>
      <c r="J60" s="18">
        <f t="shared" si="7"/>
        <v>1.374999999999993E-3</v>
      </c>
      <c r="K60" s="2">
        <f t="shared" ref="K60:K61" si="146">+K59</f>
        <v>158</v>
      </c>
      <c r="L60" s="15">
        <f t="shared" si="8"/>
        <v>5.1920402377148429</v>
      </c>
      <c r="M60" s="33">
        <f t="shared" si="133"/>
        <v>5.1920402377148428E-3</v>
      </c>
      <c r="N60" s="33">
        <f t="shared" si="110"/>
        <v>0.1317274561340005</v>
      </c>
      <c r="O60" s="33">
        <f t="shared" si="126"/>
        <v>5.18612032023624</v>
      </c>
      <c r="P60" s="58">
        <f t="shared" si="10"/>
        <v>6</v>
      </c>
      <c r="Q60" s="55">
        <f>IF(O60&gt;0,VLOOKUP(P60,'$ alcantarillado'!$I$5:$L$22,4,FALSE),"0")</f>
        <v>0.14499999999999999</v>
      </c>
      <c r="R60" s="55">
        <f t="shared" si="127"/>
        <v>6.7068085429640217E-3</v>
      </c>
      <c r="S60" s="35">
        <f t="shared" si="128"/>
        <v>0.77414469258433027</v>
      </c>
      <c r="T60" s="58">
        <f>+IF(S60&gt;$B$13,VLOOKUP(P60,'$ alcantarillado'!$I$6:$N$22,5),P60)</f>
        <v>6</v>
      </c>
      <c r="U60" s="55">
        <f>IF(O60&gt;0,VLOOKUP(T60,'$ alcantarillado'!$I$5:$L$22,4),"0")</f>
        <v>0.14499999999999999</v>
      </c>
      <c r="V60" s="55">
        <f t="shared" si="111"/>
        <v>6.7068085429640217E-3</v>
      </c>
      <c r="W60" s="35">
        <f t="shared" si="129"/>
        <v>0.77414469258433027</v>
      </c>
      <c r="X60" s="35">
        <f t="shared" si="134"/>
        <v>0.4061533344052039</v>
      </c>
      <c r="Y60" s="55">
        <f>IF(T60&gt;0,(VLOOKUP($W60,Relaciones!$A$4:$D$108,2)),"")</f>
        <v>0.97199999999999998</v>
      </c>
      <c r="Z60" s="35">
        <f t="shared" si="135"/>
        <v>0.39478104104185818</v>
      </c>
      <c r="AA60" s="35">
        <f t="shared" si="136"/>
        <v>4.9843749999999742E-2</v>
      </c>
      <c r="AB60" s="46" t="str">
        <f t="shared" si="137"/>
        <v>OK</v>
      </c>
      <c r="AC60" s="46" t="str">
        <f t="shared" si="138"/>
        <v>No Cumple</v>
      </c>
      <c r="AD60" s="46" t="str">
        <f t="shared" si="139"/>
        <v>No Cumple</v>
      </c>
      <c r="AE60" s="48">
        <f t="shared" si="140"/>
        <v>1</v>
      </c>
      <c r="AF60" s="48">
        <f t="shared" si="141"/>
        <v>0</v>
      </c>
      <c r="AG60" s="48">
        <f t="shared" si="142"/>
        <v>0</v>
      </c>
      <c r="AH60" s="48">
        <f t="shared" si="143"/>
        <v>1</v>
      </c>
      <c r="AI60" s="46">
        <f t="shared" si="144"/>
        <v>0</v>
      </c>
      <c r="AJ60" s="20">
        <f>IF(AI60&gt;0,I60*VLOOKUP(T60,'$ alcantarillado'!$I$6:$K$22,3),0)</f>
        <v>0</v>
      </c>
      <c r="AK60" s="20">
        <f t="shared" si="92"/>
        <v>0</v>
      </c>
      <c r="AL60" s="20">
        <f t="shared" si="93"/>
        <v>0</v>
      </c>
      <c r="AM60" s="20">
        <f t="shared" si="21"/>
        <v>0</v>
      </c>
      <c r="AN60" s="50">
        <f>+AP33</f>
        <v>5421411.7783333398</v>
      </c>
      <c r="AO60" s="78" t="str">
        <f t="shared" si="106"/>
        <v/>
      </c>
      <c r="AP60" s="215"/>
      <c r="AQ60" s="2">
        <v>1</v>
      </c>
      <c r="AR60" s="9">
        <v>3</v>
      </c>
    </row>
    <row r="61" spans="1:44" x14ac:dyDescent="0.25">
      <c r="A61" s="211"/>
      <c r="B61" s="211"/>
      <c r="C61" s="211"/>
      <c r="D61" s="211"/>
      <c r="E61" s="56">
        <v>4</v>
      </c>
      <c r="F61" s="2">
        <f>+H38</f>
        <v>46</v>
      </c>
      <c r="G61" s="56">
        <v>3</v>
      </c>
      <c r="H61" s="2">
        <f t="shared" ref="H61:I61" si="147">+H60</f>
        <v>46.39</v>
      </c>
      <c r="I61" s="2">
        <f t="shared" si="147"/>
        <v>80</v>
      </c>
      <c r="J61" s="18">
        <f>+(F61-H61)/I61</f>
        <v>-4.8750000000000069E-3</v>
      </c>
      <c r="K61" s="2">
        <f t="shared" si="146"/>
        <v>158</v>
      </c>
      <c r="L61" s="15">
        <f t="shared" si="8"/>
        <v>5.1920402377148429</v>
      </c>
      <c r="M61" s="33">
        <f t="shared" si="133"/>
        <v>5.1920402377148428E-3</v>
      </c>
      <c r="N61" s="33">
        <f t="shared" si="110"/>
        <v>0</v>
      </c>
      <c r="O61" s="33">
        <f t="shared" si="126"/>
        <v>0</v>
      </c>
      <c r="P61" s="58">
        <f t="shared" si="10"/>
        <v>0</v>
      </c>
      <c r="Q61" s="55" t="str">
        <f>IF(O61&gt;0,VLOOKUP(P61,'$ alcantarillado'!$I$5:$L$22,4,FALSE),"0")</f>
        <v>0</v>
      </c>
      <c r="R61" s="55" t="str">
        <f t="shared" si="127"/>
        <v/>
      </c>
      <c r="S61" s="35">
        <f t="shared" si="128"/>
        <v>0</v>
      </c>
      <c r="T61" s="58">
        <f>+IF(S61&gt;$B$13,VLOOKUP(P61,'$ alcantarillado'!$I$6:$N$22,5),P61)</f>
        <v>0</v>
      </c>
      <c r="U61" s="55" t="str">
        <f>IF(O61&gt;0,VLOOKUP(T61,'$ alcantarillado'!$I$5:$L$22,4),"0")</f>
        <v>0</v>
      </c>
      <c r="V61" s="55" t="str">
        <f t="shared" si="111"/>
        <v/>
      </c>
      <c r="W61" s="35">
        <f t="shared" si="129"/>
        <v>0</v>
      </c>
      <c r="X61" s="35" t="str">
        <f t="shared" si="134"/>
        <v/>
      </c>
      <c r="Y61" s="55" t="str">
        <f>IF(T61&gt;0,(VLOOKUP($W61,Relaciones!$A$4:$D$108,2)),"")</f>
        <v/>
      </c>
      <c r="Z61" s="35" t="str">
        <f t="shared" si="135"/>
        <v/>
      </c>
      <c r="AA61" s="35" t="str">
        <f t="shared" si="136"/>
        <v/>
      </c>
      <c r="AB61" s="46" t="str">
        <f t="shared" si="137"/>
        <v/>
      </c>
      <c r="AC61" s="46" t="str">
        <f t="shared" si="138"/>
        <v/>
      </c>
      <c r="AD61" s="46" t="str">
        <f t="shared" si="139"/>
        <v/>
      </c>
      <c r="AE61" s="48">
        <f t="shared" si="140"/>
        <v>0</v>
      </c>
      <c r="AF61" s="48">
        <f t="shared" si="141"/>
        <v>0</v>
      </c>
      <c r="AG61" s="48">
        <f t="shared" si="142"/>
        <v>0</v>
      </c>
      <c r="AH61" s="48">
        <f t="shared" si="143"/>
        <v>0</v>
      </c>
      <c r="AI61" s="46">
        <f t="shared" si="144"/>
        <v>0</v>
      </c>
      <c r="AJ61" s="20">
        <f>IF(AI61&gt;0,I61*VLOOKUP(T61,'$ alcantarillado'!$I$6:$K$22,3),0)</f>
        <v>0</v>
      </c>
      <c r="AK61" s="20">
        <f t="shared" si="92"/>
        <v>0</v>
      </c>
      <c r="AL61" s="20">
        <f t="shared" si="93"/>
        <v>0</v>
      </c>
      <c r="AM61" s="20">
        <f t="shared" si="21"/>
        <v>0</v>
      </c>
      <c r="AN61" s="50">
        <f>+AP38</f>
        <v>5653611.7783333398</v>
      </c>
      <c r="AO61" s="78" t="str">
        <f t="shared" si="106"/>
        <v/>
      </c>
      <c r="AP61" s="215"/>
      <c r="AQ61" s="2"/>
      <c r="AR61" s="9"/>
    </row>
    <row r="62" spans="1:44" ht="15.75" thickBot="1" x14ac:dyDescent="0.3">
      <c r="A62" s="211"/>
      <c r="B62" s="211"/>
      <c r="C62" s="211"/>
      <c r="D62" s="211"/>
      <c r="E62" s="6">
        <v>5</v>
      </c>
      <c r="F62" s="16">
        <f>+H43</f>
        <v>45.5</v>
      </c>
      <c r="G62" s="6">
        <v>3</v>
      </c>
      <c r="H62" s="10">
        <f>+H61</f>
        <v>46.39</v>
      </c>
      <c r="I62" s="10">
        <f>+I61</f>
        <v>80</v>
      </c>
      <c r="J62" s="19">
        <f t="shared" si="7"/>
        <v>-1.1125000000000006E-2</v>
      </c>
      <c r="K62" s="10">
        <f>+K61</f>
        <v>158</v>
      </c>
      <c r="L62" s="16">
        <f t="shared" si="8"/>
        <v>5.1920402377148429</v>
      </c>
      <c r="M62" s="34">
        <f t="shared" si="133"/>
        <v>5.1920402377148428E-3</v>
      </c>
      <c r="N62" s="34">
        <f t="shared" si="110"/>
        <v>0</v>
      </c>
      <c r="O62" s="34">
        <f t="shared" si="126"/>
        <v>0</v>
      </c>
      <c r="P62" s="59">
        <f t="shared" si="10"/>
        <v>0</v>
      </c>
      <c r="Q62" s="55" t="str">
        <f>IF(O62&gt;0,VLOOKUP(P62,'$ alcantarillado'!$I$5:$L$22,4,FALSE),"0")</f>
        <v>0</v>
      </c>
      <c r="R62" s="47" t="str">
        <f t="shared" si="127"/>
        <v/>
      </c>
      <c r="S62" s="35">
        <f t="shared" si="128"/>
        <v>0</v>
      </c>
      <c r="T62" s="58">
        <f>+IF(S62&gt;$B$13,VLOOKUP(P62,'$ alcantarillado'!$I$6:$N$22,5),P62)</f>
        <v>0</v>
      </c>
      <c r="U62" s="55" t="str">
        <f>IF(O62&gt;0,VLOOKUP(T62,'$ alcantarillado'!$I$5:$L$22,4),"0")</f>
        <v>0</v>
      </c>
      <c r="V62" s="55" t="str">
        <f t="shared" si="111"/>
        <v/>
      </c>
      <c r="W62" s="35">
        <f t="shared" si="129"/>
        <v>0</v>
      </c>
      <c r="X62" s="35" t="str">
        <f t="shared" si="134"/>
        <v/>
      </c>
      <c r="Y62" s="55" t="str">
        <f>IF(T62&gt;0,(VLOOKUP($W62,Relaciones!$A$4:$D$108,2)),"")</f>
        <v/>
      </c>
      <c r="Z62" s="35" t="str">
        <f t="shared" si="135"/>
        <v/>
      </c>
      <c r="AA62" s="35" t="str">
        <f t="shared" si="136"/>
        <v/>
      </c>
      <c r="AB62" s="46" t="str">
        <f t="shared" si="137"/>
        <v/>
      </c>
      <c r="AC62" s="46" t="str">
        <f t="shared" si="138"/>
        <v/>
      </c>
      <c r="AD62" s="46" t="str">
        <f t="shared" si="139"/>
        <v/>
      </c>
      <c r="AE62" s="48">
        <f t="shared" si="140"/>
        <v>0</v>
      </c>
      <c r="AF62" s="48">
        <f t="shared" si="141"/>
        <v>0</v>
      </c>
      <c r="AG62" s="48">
        <f t="shared" si="142"/>
        <v>0</v>
      </c>
      <c r="AH62" s="48">
        <f t="shared" si="143"/>
        <v>0</v>
      </c>
      <c r="AI62" s="46">
        <f t="shared" si="144"/>
        <v>0</v>
      </c>
      <c r="AJ62" s="22">
        <f>IF(AI62&gt;0,I62*VLOOKUP(T62,'$ alcantarillado'!$I$6:$K$22,3),0)</f>
        <v>0</v>
      </c>
      <c r="AK62" s="20">
        <f t="shared" si="92"/>
        <v>0</v>
      </c>
      <c r="AL62" s="20">
        <f t="shared" si="93"/>
        <v>0</v>
      </c>
      <c r="AM62" s="22">
        <f t="shared" si="21"/>
        <v>0</v>
      </c>
      <c r="AN62" s="51">
        <f>+AP43</f>
        <v>5885811.7783333398</v>
      </c>
      <c r="AO62" s="79" t="str">
        <f t="shared" si="106"/>
        <v/>
      </c>
      <c r="AP62" s="216"/>
      <c r="AQ62" s="10"/>
      <c r="AR62" s="11"/>
    </row>
    <row r="63" spans="1:44" x14ac:dyDescent="0.25">
      <c r="A63" s="211"/>
      <c r="B63" s="211"/>
      <c r="C63" s="211"/>
      <c r="D63" s="211"/>
      <c r="E63" s="4">
        <v>1</v>
      </c>
      <c r="F63" s="7">
        <f>+H23</f>
        <v>47.5</v>
      </c>
      <c r="G63" s="4">
        <v>4</v>
      </c>
      <c r="H63" s="7">
        <f>+H58-$B$4</f>
        <v>45.89</v>
      </c>
      <c r="I63" s="12">
        <f>+I58</f>
        <v>80</v>
      </c>
      <c r="J63" s="18">
        <f>+(F63-H63)/I63</f>
        <v>2.0124999999999994E-2</v>
      </c>
      <c r="K63" s="12">
        <f>+K58</f>
        <v>158</v>
      </c>
      <c r="L63" s="14">
        <f>IF(K63&lt;38,K63^0.3686*0.7401,IF(K63&lt;235,K63^0.4193*0.6215,IF(K63&lt;932,K63*0.0092+4.2493,K63*0.0069+6.7345)))</f>
        <v>5.1920402377148429</v>
      </c>
      <c r="M63" s="31">
        <f>+L63/1000</f>
        <v>5.1920402377148428E-3</v>
      </c>
      <c r="N63" s="31">
        <f t="shared" si="110"/>
        <v>7.9644828549305227E-2</v>
      </c>
      <c r="O63" s="31">
        <f t="shared" si="126"/>
        <v>3.1356231712324893</v>
      </c>
      <c r="P63" s="57">
        <f t="shared" si="10"/>
        <v>6</v>
      </c>
      <c r="Q63" s="60">
        <f>IF(O63&gt;0,VLOOKUP(P63,'$ alcantarillado'!$I$5:$L$22,4,FALSE),"0")</f>
        <v>0.14499999999999999</v>
      </c>
      <c r="R63" s="60">
        <f t="shared" si="127"/>
        <v>2.5658573286256297E-2</v>
      </c>
      <c r="S63" s="27">
        <f t="shared" si="128"/>
        <v>0.20235108865136692</v>
      </c>
      <c r="T63" s="57">
        <f>+IF(S63&gt;$B$13,VLOOKUP(P63,'$ alcantarillado'!$I$6:$N$22,5),P63)</f>
        <v>6</v>
      </c>
      <c r="U63" s="60">
        <f>IF(O63&gt;0,VLOOKUP(T63,'$ alcantarillado'!$I$5:$L$22,4),"0")</f>
        <v>0.14499999999999999</v>
      </c>
      <c r="V63" s="60">
        <f t="shared" si="111"/>
        <v>2.5658573286256297E-2</v>
      </c>
      <c r="W63" s="27">
        <f t="shared" si="129"/>
        <v>0.20235108865136692</v>
      </c>
      <c r="X63" s="27">
        <f>IF(T63&gt;0,4*V63/(PI()*(U63)^2),"")</f>
        <v>1.5538411495622724</v>
      </c>
      <c r="Y63" s="60">
        <f>IF(T63&gt;0,(VLOOKUP($W63,Relaciones!$A$4:$D$108,2)),"")</f>
        <v>0.65600000000000003</v>
      </c>
      <c r="Z63" s="27">
        <f>IF(T63&gt;0,Y63*X63,"")</f>
        <v>1.0193197941128507</v>
      </c>
      <c r="AA63" s="27">
        <f>IF(T63&gt;0,250*U63*J63,"")</f>
        <v>0.72953124999999974</v>
      </c>
      <c r="AB63" s="45" t="str">
        <f>IF(T63&gt;0,IF(W63&lt;=$B$13,"OK","No Cumple"),"")</f>
        <v>OK</v>
      </c>
      <c r="AC63" s="45" t="str">
        <f>IF(T63&gt;0,IF(Z63&gt;=$B$12,"OK","No Cumple"),"")</f>
        <v>OK</v>
      </c>
      <c r="AD63" s="45" t="str">
        <f>IF(T63&gt;0,IF(AA63&gt;$B$14,"OK","No Cumple"),"")</f>
        <v>OK</v>
      </c>
      <c r="AE63" s="32">
        <f>+IF(AB63="OK",1,0)</f>
        <v>1</v>
      </c>
      <c r="AF63" s="32">
        <f>+IF(AC63="OK",1,0)</f>
        <v>1</v>
      </c>
      <c r="AG63" s="32">
        <f>+IF(AD63="OK",1,0)</f>
        <v>1</v>
      </c>
      <c r="AH63" s="32">
        <f>SUM(AE63:AG63)</f>
        <v>3</v>
      </c>
      <c r="AI63" s="45">
        <f>IF(AH63=3,2*$B$7+U63,0)</f>
        <v>0.64500000000000002</v>
      </c>
      <c r="AJ63" s="21">
        <f>IF(AI63&gt;0,I63*VLOOKUP(T63,'$ alcantarillado'!$I$6:$K$22,3),0)</f>
        <v>1912173.3333333335</v>
      </c>
      <c r="AK63" s="21">
        <f t="shared" si="92"/>
        <v>3267054.0000000037</v>
      </c>
      <c r="AL63" s="21">
        <f t="shared" si="93"/>
        <v>1287774.9450000019</v>
      </c>
      <c r="AM63" s="21">
        <f>IF(AJ63&gt;0,AJ63+AK63+AL63,0)</f>
        <v>6467002.2783333398</v>
      </c>
      <c r="AN63" s="49">
        <f>IF(AP23&gt;0,+AP23,0)</f>
        <v>4957011.7783333398</v>
      </c>
      <c r="AO63" s="77">
        <f>IF((AM63)&gt;0,IF(AN63&gt;0,AM63+AN63,""),"")</f>
        <v>11424014.05666668</v>
      </c>
      <c r="AP63" s="213">
        <f>+MIN(AO63:AO67)</f>
        <v>11424014.05666668</v>
      </c>
      <c r="AQ63" s="7"/>
      <c r="AR63" s="8"/>
    </row>
    <row r="64" spans="1:44" x14ac:dyDescent="0.25">
      <c r="A64" s="211"/>
      <c r="B64" s="211"/>
      <c r="C64" s="211"/>
      <c r="D64" s="211"/>
      <c r="E64" s="5">
        <v>2</v>
      </c>
      <c r="F64" s="2">
        <f>+H28</f>
        <v>47</v>
      </c>
      <c r="G64" s="5">
        <v>4</v>
      </c>
      <c r="H64" s="2">
        <f>+H63</f>
        <v>45.89</v>
      </c>
      <c r="I64" s="2">
        <f>+I63</f>
        <v>80</v>
      </c>
      <c r="J64" s="18">
        <f t="shared" si="7"/>
        <v>1.3874999999999993E-2</v>
      </c>
      <c r="K64" s="2">
        <f>+K63</f>
        <v>158</v>
      </c>
      <c r="L64" s="15">
        <f t="shared" si="8"/>
        <v>5.1920402377148429</v>
      </c>
      <c r="M64" s="33">
        <f t="shared" ref="M64:M67" si="148">+L64/1000</f>
        <v>5.1920402377148428E-3</v>
      </c>
      <c r="N64" s="33">
        <f t="shared" si="110"/>
        <v>8.5396363058151126E-2</v>
      </c>
      <c r="O64" s="33">
        <f t="shared" si="126"/>
        <v>3.3620615377224854</v>
      </c>
      <c r="P64" s="58">
        <f t="shared" si="10"/>
        <v>6</v>
      </c>
      <c r="Q64" s="55">
        <f>IF(O64&gt;0,VLOOKUP(P64,'$ alcantarillado'!$I$5:$L$22,4,FALSE),"0")</f>
        <v>0.14499999999999999</v>
      </c>
      <c r="R64" s="55">
        <f t="shared" si="127"/>
        <v>2.130497631231059E-2</v>
      </c>
      <c r="S64" s="35">
        <f t="shared" si="128"/>
        <v>0.24370082189271161</v>
      </c>
      <c r="T64" s="58">
        <f>+IF(S64&gt;$B$13,VLOOKUP(P64,'$ alcantarillado'!$I$6:$N$22,5),P64)</f>
        <v>6</v>
      </c>
      <c r="U64" s="55">
        <f>IF(O64&gt;0,VLOOKUP(T64,'$ alcantarillado'!$I$5:$L$22,4),"0")</f>
        <v>0.14499999999999999</v>
      </c>
      <c r="V64" s="55">
        <f t="shared" si="111"/>
        <v>2.130497631231059E-2</v>
      </c>
      <c r="W64" s="35">
        <f t="shared" si="129"/>
        <v>0.24370082189271161</v>
      </c>
      <c r="X64" s="35">
        <f t="shared" ref="X64:X67" si="149">IF(T64&gt;0,4*V64/(PI()*(U64)^2),"")</f>
        <v>1.2901944513902386</v>
      </c>
      <c r="Y64" s="55">
        <f>IF(T64&gt;0,(VLOOKUP($W64,Relaciones!$A$4:$D$108,2)),"")</f>
        <v>0.68700000000000006</v>
      </c>
      <c r="Z64" s="35">
        <f t="shared" ref="Z64:Z67" si="150">IF(T64&gt;0,Y64*X64,"")</f>
        <v>0.88636358810509397</v>
      </c>
      <c r="AA64" s="35">
        <f t="shared" ref="AA64:AA67" si="151">IF(T64&gt;0,250*U64*J64,"")</f>
        <v>0.50296874999999974</v>
      </c>
      <c r="AB64" s="46" t="str">
        <f t="shared" ref="AB64:AB67" si="152">IF(T64&gt;0,IF(W64&lt;=$B$13,"OK","No Cumple"),"")</f>
        <v>OK</v>
      </c>
      <c r="AC64" s="46" t="str">
        <f t="shared" ref="AC64:AC67" si="153">IF(T64&gt;0,IF(Z64&gt;=$B$12,"OK","No Cumple"),"")</f>
        <v>OK</v>
      </c>
      <c r="AD64" s="46" t="str">
        <f t="shared" ref="AD64:AD67" si="154">IF(T64&gt;0,IF(AA64&gt;$B$14,"OK","No Cumple"),"")</f>
        <v>OK</v>
      </c>
      <c r="AE64" s="48">
        <f t="shared" ref="AE64:AE67" si="155">+IF(AB64="OK",1,0)</f>
        <v>1</v>
      </c>
      <c r="AF64" s="48">
        <f t="shared" ref="AF64:AF67" si="156">+IF(AC64="OK",1,0)</f>
        <v>1</v>
      </c>
      <c r="AG64" s="48">
        <f t="shared" ref="AG64:AG67" si="157">+IF(AD64="OK",1,0)</f>
        <v>1</v>
      </c>
      <c r="AH64" s="48">
        <f t="shared" ref="AH64:AH67" si="158">SUM(AE64:AG64)</f>
        <v>3</v>
      </c>
      <c r="AI64" s="46">
        <f t="shared" ref="AI64:AI67" si="159">IF(AH64=3,2*$B$7+U64,0)</f>
        <v>0.64500000000000002</v>
      </c>
      <c r="AJ64" s="20">
        <f>IF(AI64&gt;0,I64*VLOOKUP(T64,'$ alcantarillado'!$I$6:$K$22,3),0)</f>
        <v>1912173.3333333335</v>
      </c>
      <c r="AK64" s="20">
        <f t="shared" si="92"/>
        <v>3731454.0000000047</v>
      </c>
      <c r="AL64" s="20">
        <f t="shared" si="93"/>
        <v>1636765.4450000019</v>
      </c>
      <c r="AM64" s="20">
        <f t="shared" si="21"/>
        <v>7280392.7783333398</v>
      </c>
      <c r="AN64" s="50">
        <f>+AP28</f>
        <v>5189211.7783333398</v>
      </c>
      <c r="AO64" s="78">
        <f t="shared" si="106"/>
        <v>12469604.55666668</v>
      </c>
      <c r="AP64" s="214"/>
      <c r="AQ64" s="2"/>
      <c r="AR64" s="9"/>
    </row>
    <row r="65" spans="1:44" x14ac:dyDescent="0.25">
      <c r="A65" s="211"/>
      <c r="B65" s="211"/>
      <c r="C65" s="211"/>
      <c r="D65" s="211"/>
      <c r="E65" s="56">
        <v>3</v>
      </c>
      <c r="F65" s="2">
        <f>+H33</f>
        <v>46.5</v>
      </c>
      <c r="G65" s="5">
        <v>4</v>
      </c>
      <c r="H65" s="2">
        <f t="shared" ref="H65:I65" si="160">+H64</f>
        <v>45.89</v>
      </c>
      <c r="I65" s="2">
        <f t="shared" si="160"/>
        <v>80</v>
      </c>
      <c r="J65" s="18">
        <f t="shared" si="7"/>
        <v>7.6249999999999929E-3</v>
      </c>
      <c r="K65" s="2">
        <f t="shared" ref="K65:K66" si="161">+K64</f>
        <v>158</v>
      </c>
      <c r="L65" s="15">
        <f t="shared" si="8"/>
        <v>5.1920402377148429</v>
      </c>
      <c r="M65" s="33">
        <f t="shared" si="148"/>
        <v>5.1920402377148428E-3</v>
      </c>
      <c r="N65" s="33">
        <f t="shared" si="110"/>
        <v>9.5540627508621162E-2</v>
      </c>
      <c r="O65" s="33">
        <f t="shared" si="126"/>
        <v>3.7614420278984713</v>
      </c>
      <c r="P65" s="58">
        <f t="shared" si="10"/>
        <v>6</v>
      </c>
      <c r="Q65" s="55">
        <f>IF(O65&gt;0,VLOOKUP(P65,'$ alcantarillado'!$I$5:$L$22,4,FALSE),"0")</f>
        <v>0.14499999999999999</v>
      </c>
      <c r="R65" s="55">
        <f t="shared" si="127"/>
        <v>1.5793721798551638E-2</v>
      </c>
      <c r="S65" s="35">
        <f t="shared" si="128"/>
        <v>0.32874076825837079</v>
      </c>
      <c r="T65" s="58">
        <f>+IF(S65&gt;$B$13,VLOOKUP(P65,'$ alcantarillado'!$I$6:$N$22,5),P65)</f>
        <v>6</v>
      </c>
      <c r="U65" s="55">
        <f>IF(O65&gt;0,VLOOKUP(T65,'$ alcantarillado'!$I$5:$L$22,4),"0")</f>
        <v>0.14499999999999999</v>
      </c>
      <c r="V65" s="55">
        <f t="shared" si="111"/>
        <v>1.5793721798551638E-2</v>
      </c>
      <c r="W65" s="35">
        <f t="shared" si="129"/>
        <v>0.32874076825837079</v>
      </c>
      <c r="X65" s="35">
        <f t="shared" si="149"/>
        <v>0.95644190974847587</v>
      </c>
      <c r="Y65" s="55">
        <f>IF(T65&gt;0,(VLOOKUP($W65,Relaciones!$A$4:$D$108,2)),"")</f>
        <v>0.74</v>
      </c>
      <c r="Z65" s="35">
        <f t="shared" si="150"/>
        <v>0.70776701321387214</v>
      </c>
      <c r="AA65" s="35">
        <f t="shared" si="151"/>
        <v>0.27640624999999974</v>
      </c>
      <c r="AB65" s="46" t="str">
        <f t="shared" si="152"/>
        <v>OK</v>
      </c>
      <c r="AC65" s="46" t="str">
        <f t="shared" si="153"/>
        <v>OK</v>
      </c>
      <c r="AD65" s="46" t="str">
        <f t="shared" si="154"/>
        <v>OK</v>
      </c>
      <c r="AE65" s="48">
        <f t="shared" si="155"/>
        <v>1</v>
      </c>
      <c r="AF65" s="48">
        <f t="shared" si="156"/>
        <v>1</v>
      </c>
      <c r="AG65" s="48">
        <f t="shared" si="157"/>
        <v>1</v>
      </c>
      <c r="AH65" s="48">
        <f t="shared" si="158"/>
        <v>3</v>
      </c>
      <c r="AI65" s="46">
        <f t="shared" si="159"/>
        <v>0.64500000000000002</v>
      </c>
      <c r="AJ65" s="20">
        <f>IF(AI65&gt;0,I65*VLOOKUP(T65,'$ alcantarillado'!$I$6:$K$22,3),0)</f>
        <v>1912173.3333333335</v>
      </c>
      <c r="AK65" s="20">
        <f t="shared" si="92"/>
        <v>4195854.0000000047</v>
      </c>
      <c r="AL65" s="20">
        <f t="shared" si="93"/>
        <v>1985755.9450000019</v>
      </c>
      <c r="AM65" s="20">
        <f t="shared" si="21"/>
        <v>8093783.2783333398</v>
      </c>
      <c r="AN65" s="50">
        <f>+AP33</f>
        <v>5421411.7783333398</v>
      </c>
      <c r="AO65" s="78">
        <f t="shared" si="106"/>
        <v>13515195.05666668</v>
      </c>
      <c r="AP65" s="215"/>
      <c r="AQ65" s="2">
        <v>1</v>
      </c>
      <c r="AR65" s="9">
        <v>4</v>
      </c>
    </row>
    <row r="66" spans="1:44" x14ac:dyDescent="0.25">
      <c r="A66" s="211"/>
      <c r="B66" s="211"/>
      <c r="C66" s="211"/>
      <c r="D66" s="211"/>
      <c r="E66" s="56">
        <v>4</v>
      </c>
      <c r="F66" s="2">
        <f>+H38</f>
        <v>46</v>
      </c>
      <c r="G66" s="56">
        <v>4</v>
      </c>
      <c r="H66" s="2">
        <f t="shared" ref="H66:I66" si="162">+H65</f>
        <v>45.89</v>
      </c>
      <c r="I66" s="2">
        <f t="shared" si="162"/>
        <v>80</v>
      </c>
      <c r="J66" s="18">
        <f>+(F66-H66)/I66</f>
        <v>1.374999999999993E-3</v>
      </c>
      <c r="K66" s="2">
        <f t="shared" si="161"/>
        <v>158</v>
      </c>
      <c r="L66" s="15">
        <f t="shared" si="8"/>
        <v>5.1920402377148429</v>
      </c>
      <c r="M66" s="33">
        <f t="shared" si="148"/>
        <v>5.1920402377148428E-3</v>
      </c>
      <c r="N66" s="33">
        <f t="shared" si="110"/>
        <v>0.1317274561340005</v>
      </c>
      <c r="O66" s="33">
        <f t="shared" si="126"/>
        <v>5.18612032023624</v>
      </c>
      <c r="P66" s="58">
        <f t="shared" si="10"/>
        <v>6</v>
      </c>
      <c r="Q66" s="55">
        <f>IF(O66&gt;0,VLOOKUP(P66,'$ alcantarillado'!$I$5:$L$22,4,FALSE),"0")</f>
        <v>0.14499999999999999</v>
      </c>
      <c r="R66" s="55">
        <f t="shared" si="127"/>
        <v>6.7068085429640217E-3</v>
      </c>
      <c r="S66" s="35">
        <f t="shared" si="128"/>
        <v>0.77414469258433027</v>
      </c>
      <c r="T66" s="58">
        <f>+IF(S66&gt;$B$13,VLOOKUP(P66,'$ alcantarillado'!$I$6:$N$22,5),P66)</f>
        <v>6</v>
      </c>
      <c r="U66" s="55">
        <f>IF(O66&gt;0,VLOOKUP(T66,'$ alcantarillado'!$I$5:$L$22,4),"0")</f>
        <v>0.14499999999999999</v>
      </c>
      <c r="V66" s="55">
        <f t="shared" si="111"/>
        <v>6.7068085429640217E-3</v>
      </c>
      <c r="W66" s="35">
        <f t="shared" si="129"/>
        <v>0.77414469258433027</v>
      </c>
      <c r="X66" s="35">
        <f t="shared" si="149"/>
        <v>0.4061533344052039</v>
      </c>
      <c r="Y66" s="55">
        <f>IF(T66&gt;0,(VLOOKUP($W66,Relaciones!$A$4:$D$108,2)),"")</f>
        <v>0.97199999999999998</v>
      </c>
      <c r="Z66" s="35">
        <f t="shared" si="150"/>
        <v>0.39478104104185818</v>
      </c>
      <c r="AA66" s="35">
        <f t="shared" si="151"/>
        <v>4.9843749999999742E-2</v>
      </c>
      <c r="AB66" s="46" t="str">
        <f t="shared" si="152"/>
        <v>OK</v>
      </c>
      <c r="AC66" s="46" t="str">
        <f t="shared" si="153"/>
        <v>No Cumple</v>
      </c>
      <c r="AD66" s="46" t="str">
        <f t="shared" si="154"/>
        <v>No Cumple</v>
      </c>
      <c r="AE66" s="48">
        <f t="shared" si="155"/>
        <v>1</v>
      </c>
      <c r="AF66" s="48">
        <f t="shared" si="156"/>
        <v>0</v>
      </c>
      <c r="AG66" s="48">
        <f t="shared" si="157"/>
        <v>0</v>
      </c>
      <c r="AH66" s="48">
        <f t="shared" si="158"/>
        <v>1</v>
      </c>
      <c r="AI66" s="46">
        <f t="shared" si="159"/>
        <v>0</v>
      </c>
      <c r="AJ66" s="20">
        <f>IF(AI66&gt;0,I66*VLOOKUP(T66,'$ alcantarillado'!$I$6:$K$22,3),0)</f>
        <v>0</v>
      </c>
      <c r="AK66" s="20">
        <f t="shared" si="92"/>
        <v>0</v>
      </c>
      <c r="AL66" s="20">
        <f t="shared" si="93"/>
        <v>0</v>
      </c>
      <c r="AM66" s="20">
        <f t="shared" si="21"/>
        <v>0</v>
      </c>
      <c r="AN66" s="50">
        <f>+AP38</f>
        <v>5653611.7783333398</v>
      </c>
      <c r="AO66" s="78" t="str">
        <f t="shared" si="106"/>
        <v/>
      </c>
      <c r="AP66" s="215"/>
      <c r="AQ66" s="2"/>
      <c r="AR66" s="9"/>
    </row>
    <row r="67" spans="1:44" ht="15.75" thickBot="1" x14ac:dyDescent="0.3">
      <c r="A67" s="211"/>
      <c r="B67" s="211"/>
      <c r="C67" s="211"/>
      <c r="D67" s="211"/>
      <c r="E67" s="6">
        <v>5</v>
      </c>
      <c r="F67" s="16">
        <f>+H43</f>
        <v>45.5</v>
      </c>
      <c r="G67" s="6">
        <v>4</v>
      </c>
      <c r="H67" s="10">
        <f>+H66</f>
        <v>45.89</v>
      </c>
      <c r="I67" s="10">
        <f>+I66</f>
        <v>80</v>
      </c>
      <c r="J67" s="19">
        <f t="shared" si="7"/>
        <v>-4.8750000000000069E-3</v>
      </c>
      <c r="K67" s="10">
        <f>+K66</f>
        <v>158</v>
      </c>
      <c r="L67" s="16">
        <f t="shared" si="8"/>
        <v>5.1920402377148429</v>
      </c>
      <c r="M67" s="34">
        <f t="shared" si="148"/>
        <v>5.1920402377148428E-3</v>
      </c>
      <c r="N67" s="34">
        <f t="shared" si="110"/>
        <v>0</v>
      </c>
      <c r="O67" s="34">
        <f t="shared" si="126"/>
        <v>0</v>
      </c>
      <c r="P67" s="59">
        <f t="shared" si="10"/>
        <v>0</v>
      </c>
      <c r="Q67" s="55" t="str">
        <f>IF(O67&gt;0,VLOOKUP(P67,'$ alcantarillado'!$I$5:$L$22,4,FALSE),"0")</f>
        <v>0</v>
      </c>
      <c r="R67" s="47" t="str">
        <f t="shared" si="127"/>
        <v/>
      </c>
      <c r="S67" s="35">
        <f t="shared" si="128"/>
        <v>0</v>
      </c>
      <c r="T67" s="58">
        <f>+IF(S67&gt;$B$13,VLOOKUP(P67,'$ alcantarillado'!$I$6:$N$22,5),P67)</f>
        <v>0</v>
      </c>
      <c r="U67" s="55" t="str">
        <f>IF(O67&gt;0,VLOOKUP(T67,'$ alcantarillado'!$I$5:$L$22,4),"0")</f>
        <v>0</v>
      </c>
      <c r="V67" s="55" t="str">
        <f t="shared" si="111"/>
        <v/>
      </c>
      <c r="W67" s="35">
        <f t="shared" si="129"/>
        <v>0</v>
      </c>
      <c r="X67" s="35" t="str">
        <f t="shared" si="149"/>
        <v/>
      </c>
      <c r="Y67" s="55" t="str">
        <f>IF(T67&gt;0,(VLOOKUP($W67,Relaciones!$A$4:$D$108,2)),"")</f>
        <v/>
      </c>
      <c r="Z67" s="35" t="str">
        <f t="shared" si="150"/>
        <v/>
      </c>
      <c r="AA67" s="35" t="str">
        <f t="shared" si="151"/>
        <v/>
      </c>
      <c r="AB67" s="46" t="str">
        <f t="shared" si="152"/>
        <v/>
      </c>
      <c r="AC67" s="46" t="str">
        <f t="shared" si="153"/>
        <v/>
      </c>
      <c r="AD67" s="46" t="str">
        <f t="shared" si="154"/>
        <v/>
      </c>
      <c r="AE67" s="48">
        <f t="shared" si="155"/>
        <v>0</v>
      </c>
      <c r="AF67" s="48">
        <f t="shared" si="156"/>
        <v>0</v>
      </c>
      <c r="AG67" s="48">
        <f t="shared" si="157"/>
        <v>0</v>
      </c>
      <c r="AH67" s="48">
        <f t="shared" si="158"/>
        <v>0</v>
      </c>
      <c r="AI67" s="46">
        <f t="shared" si="159"/>
        <v>0</v>
      </c>
      <c r="AJ67" s="22">
        <f>IF(AI67&gt;0,I67*VLOOKUP(T67,'$ alcantarillado'!$I$6:$K$22,3),0)</f>
        <v>0</v>
      </c>
      <c r="AK67" s="20">
        <f t="shared" si="92"/>
        <v>0</v>
      </c>
      <c r="AL67" s="20">
        <f t="shared" si="93"/>
        <v>0</v>
      </c>
      <c r="AM67" s="22">
        <f t="shared" si="21"/>
        <v>0</v>
      </c>
      <c r="AN67" s="51">
        <f>+AP43</f>
        <v>5885811.7783333398</v>
      </c>
      <c r="AO67" s="79" t="str">
        <f t="shared" si="106"/>
        <v/>
      </c>
      <c r="AP67" s="216"/>
      <c r="AQ67" s="10"/>
      <c r="AR67" s="11"/>
    </row>
    <row r="68" spans="1:44" x14ac:dyDescent="0.25">
      <c r="A68" s="211"/>
      <c r="B68" s="211"/>
      <c r="C68" s="211"/>
      <c r="D68" s="211"/>
      <c r="E68" s="4">
        <v>1</v>
      </c>
      <c r="F68" s="7">
        <f>+H23</f>
        <v>47.5</v>
      </c>
      <c r="G68" s="4">
        <v>5</v>
      </c>
      <c r="H68" s="14">
        <f>+H63-$B$4</f>
        <v>45.39</v>
      </c>
      <c r="I68" s="12">
        <f>+I63</f>
        <v>80</v>
      </c>
      <c r="J68" s="18">
        <f>+(F68-H68)/I68</f>
        <v>2.6374999999999992E-2</v>
      </c>
      <c r="K68" s="12">
        <f>+K63</f>
        <v>158</v>
      </c>
      <c r="L68" s="14">
        <f>IF(K68&lt;38,K68^0.3686*0.7401,IF(K68&lt;235,K68^0.4193*0.6215,IF(K68&lt;932,K68*0.0092+4.2493,K68*0.0069+6.7345)))</f>
        <v>5.1920402377148429</v>
      </c>
      <c r="M68" s="31">
        <f>+L68/1000</f>
        <v>5.1920402377148428E-3</v>
      </c>
      <c r="N68" s="31">
        <f t="shared" si="110"/>
        <v>7.5706727381111436E-2</v>
      </c>
      <c r="O68" s="31">
        <f t="shared" si="126"/>
        <v>2.9805798181539935</v>
      </c>
      <c r="P68" s="57">
        <f t="shared" si="10"/>
        <v>6</v>
      </c>
      <c r="Q68" s="60">
        <f>IF(O68&gt;0,VLOOKUP(P68,'$ alcantarillado'!$I$5:$L$22,4,FALSE),"0")</f>
        <v>0.14499999999999999</v>
      </c>
      <c r="R68" s="60">
        <f t="shared" si="127"/>
        <v>2.9373844666714218E-2</v>
      </c>
      <c r="S68" s="27">
        <f t="shared" si="128"/>
        <v>0.1767572579151801</v>
      </c>
      <c r="T68" s="57">
        <f>+IF(S68&gt;$B$13,VLOOKUP(P68,'$ alcantarillado'!$I$6:$N$22,5),P68)</f>
        <v>6</v>
      </c>
      <c r="U68" s="60">
        <f>IF(O68&gt;0,VLOOKUP(T68,'$ alcantarillado'!$I$5:$L$22,4),"0")</f>
        <v>0.14499999999999999</v>
      </c>
      <c r="V68" s="60">
        <f t="shared" si="111"/>
        <v>2.9373844666714218E-2</v>
      </c>
      <c r="W68" s="27">
        <f t="shared" si="129"/>
        <v>0.1767572579151801</v>
      </c>
      <c r="X68" s="27">
        <f>IF(T68&gt;0,4*V68/(PI()*(U68)^2),"")</f>
        <v>1.778831895865332</v>
      </c>
      <c r="Y68" s="60">
        <f>IF(T68&gt;0,(VLOOKUP($W68,Relaciones!$A$4:$D$108,2)),"")</f>
        <v>0.624</v>
      </c>
      <c r="Z68" s="27">
        <f>IF(T68&gt;0,Y68*X68,"")</f>
        <v>1.1099911030199672</v>
      </c>
      <c r="AA68" s="27">
        <f>IF(T68&gt;0,250*U68*J68,"")</f>
        <v>0.95609374999999974</v>
      </c>
      <c r="AB68" s="45" t="str">
        <f>IF(T68&gt;0,IF(W68&lt;=$B$13,"OK","No Cumple"),"")</f>
        <v>OK</v>
      </c>
      <c r="AC68" s="45" t="str">
        <f>IF(T68&gt;0,IF(Z68&gt;=$B$12,"OK","No Cumple"),"")</f>
        <v>OK</v>
      </c>
      <c r="AD68" s="45" t="str">
        <f>IF(T68&gt;0,IF(AA68&gt;$B$14,"OK","No Cumple"),"")</f>
        <v>OK</v>
      </c>
      <c r="AE68" s="32">
        <f>+IF(AB68="OK",1,0)</f>
        <v>1</v>
      </c>
      <c r="AF68" s="32">
        <f>+IF(AC68="OK",1,0)</f>
        <v>1</v>
      </c>
      <c r="AG68" s="32">
        <f>+IF(AD68="OK",1,0)</f>
        <v>1</v>
      </c>
      <c r="AH68" s="32">
        <f>SUM(AE68:AG68)</f>
        <v>3</v>
      </c>
      <c r="AI68" s="45">
        <f>IF(AH68=3,2*$B$7+U68,0)</f>
        <v>0.64500000000000002</v>
      </c>
      <c r="AJ68" s="21">
        <f>IF(AI68&gt;0,I68*VLOOKUP(T68,'$ alcantarillado'!$I$6:$K$22,3),0)</f>
        <v>1912173.3333333335</v>
      </c>
      <c r="AK68" s="21">
        <f t="shared" si="92"/>
        <v>3499254.0000000047</v>
      </c>
      <c r="AL68" s="21">
        <f t="shared" si="93"/>
        <v>1287774.9450000019</v>
      </c>
      <c r="AM68" s="21">
        <f>IF(AJ68&gt;0,AJ68+AK68+AL68,0)</f>
        <v>6699202.2783333398</v>
      </c>
      <c r="AN68" s="49">
        <f>IF(AP23&gt;0,+AP23,0)</f>
        <v>4957011.7783333398</v>
      </c>
      <c r="AO68" s="77">
        <f>IF((AM68)&gt;0,IF(AN68&gt;0,AM68+AN68,""),"")</f>
        <v>11656214.05666668</v>
      </c>
      <c r="AP68" s="213">
        <f>+MIN(AO68:AO72)</f>
        <v>11656214.05666668</v>
      </c>
      <c r="AQ68" s="2"/>
      <c r="AR68" s="9"/>
    </row>
    <row r="69" spans="1:44" x14ac:dyDescent="0.25">
      <c r="A69" s="211"/>
      <c r="B69" s="211"/>
      <c r="C69" s="211"/>
      <c r="D69" s="211"/>
      <c r="E69" s="5">
        <v>2</v>
      </c>
      <c r="F69" s="2">
        <f>+H28</f>
        <v>47</v>
      </c>
      <c r="G69" s="5">
        <v>5</v>
      </c>
      <c r="H69" s="15">
        <f>+H68</f>
        <v>45.39</v>
      </c>
      <c r="I69" s="2">
        <f>+I68</f>
        <v>80</v>
      </c>
      <c r="J69" s="18">
        <f t="shared" si="7"/>
        <v>2.0124999999999994E-2</v>
      </c>
      <c r="K69" s="2">
        <f>+K68</f>
        <v>158</v>
      </c>
      <c r="L69" s="15">
        <f t="shared" si="8"/>
        <v>5.1920402377148429</v>
      </c>
      <c r="M69" s="33">
        <f t="shared" ref="M69:M72" si="163">+L69/1000</f>
        <v>5.1920402377148428E-3</v>
      </c>
      <c r="N69" s="33">
        <f t="shared" si="110"/>
        <v>7.9644828549305227E-2</v>
      </c>
      <c r="O69" s="33">
        <f t="shared" si="126"/>
        <v>3.1356231712324893</v>
      </c>
      <c r="P69" s="58">
        <f t="shared" si="10"/>
        <v>6</v>
      </c>
      <c r="Q69" s="55">
        <f>IF(O69&gt;0,VLOOKUP(P69,'$ alcantarillado'!$I$5:$L$22,4,FALSE),"0")</f>
        <v>0.14499999999999999</v>
      </c>
      <c r="R69" s="55">
        <f t="shared" si="127"/>
        <v>2.5658573286256297E-2</v>
      </c>
      <c r="S69" s="35">
        <f t="shared" si="128"/>
        <v>0.20235108865136692</v>
      </c>
      <c r="T69" s="58">
        <f>+IF(S69&gt;$B$13,VLOOKUP(P69,'$ alcantarillado'!$I$6:$N$22,5),P69)</f>
        <v>6</v>
      </c>
      <c r="U69" s="55">
        <f>IF(O69&gt;0,VLOOKUP(T69,'$ alcantarillado'!$I$5:$L$22,4),"0")</f>
        <v>0.14499999999999999</v>
      </c>
      <c r="V69" s="55">
        <f t="shared" si="111"/>
        <v>2.5658573286256297E-2</v>
      </c>
      <c r="W69" s="35">
        <f t="shared" si="129"/>
        <v>0.20235108865136692</v>
      </c>
      <c r="X69" s="35">
        <f t="shared" ref="X69:X72" si="164">IF(T69&gt;0,4*V69/(PI()*(U69)^2),"")</f>
        <v>1.5538411495622724</v>
      </c>
      <c r="Y69" s="55">
        <f>IF(T69&gt;0,(VLOOKUP($W69,Relaciones!$A$4:$D$108,2)),"")</f>
        <v>0.65600000000000003</v>
      </c>
      <c r="Z69" s="35">
        <f t="shared" ref="Z69:Z72" si="165">IF(T69&gt;0,Y69*X69,"")</f>
        <v>1.0193197941128507</v>
      </c>
      <c r="AA69" s="35">
        <f t="shared" ref="AA69:AA72" si="166">IF(T69&gt;0,250*U69*J69,"")</f>
        <v>0.72953124999999974</v>
      </c>
      <c r="AB69" s="46" t="str">
        <f t="shared" ref="AB69:AB72" si="167">IF(T69&gt;0,IF(W69&lt;=$B$13,"OK","No Cumple"),"")</f>
        <v>OK</v>
      </c>
      <c r="AC69" s="46" t="str">
        <f t="shared" ref="AC69:AC72" si="168">IF(T69&gt;0,IF(Z69&gt;=$B$12,"OK","No Cumple"),"")</f>
        <v>OK</v>
      </c>
      <c r="AD69" s="46" t="str">
        <f t="shared" ref="AD69:AD72" si="169">IF(T69&gt;0,IF(AA69&gt;$B$14,"OK","No Cumple"),"")</f>
        <v>OK</v>
      </c>
      <c r="AE69" s="48">
        <f t="shared" ref="AE69:AE72" si="170">+IF(AB69="OK",1,0)</f>
        <v>1</v>
      </c>
      <c r="AF69" s="48">
        <f t="shared" ref="AF69:AF72" si="171">+IF(AC69="OK",1,0)</f>
        <v>1</v>
      </c>
      <c r="AG69" s="48">
        <f t="shared" ref="AG69:AG72" si="172">+IF(AD69="OK",1,0)</f>
        <v>1</v>
      </c>
      <c r="AH69" s="48">
        <f t="shared" ref="AH69:AH72" si="173">SUM(AE69:AG69)</f>
        <v>3</v>
      </c>
      <c r="AI69" s="46">
        <f t="shared" ref="AI69:AI72" si="174">IF(AH69=3,2*$B$7+U69,0)</f>
        <v>0.64500000000000002</v>
      </c>
      <c r="AJ69" s="20">
        <f>IF(AI69&gt;0,I69*VLOOKUP(T69,'$ alcantarillado'!$I$6:$K$22,3),0)</f>
        <v>1912173.3333333335</v>
      </c>
      <c r="AK69" s="20">
        <f t="shared" si="92"/>
        <v>3963654.0000000042</v>
      </c>
      <c r="AL69" s="20">
        <f t="shared" si="93"/>
        <v>1636765.4450000019</v>
      </c>
      <c r="AM69" s="20">
        <f t="shared" si="21"/>
        <v>7512592.7783333398</v>
      </c>
      <c r="AN69" s="50">
        <f>+AP28</f>
        <v>5189211.7783333398</v>
      </c>
      <c r="AO69" s="78">
        <f t="shared" si="106"/>
        <v>12701804.55666668</v>
      </c>
      <c r="AP69" s="214"/>
      <c r="AQ69" s="2"/>
      <c r="AR69" s="9"/>
    </row>
    <row r="70" spans="1:44" x14ac:dyDescent="0.25">
      <c r="A70" s="211"/>
      <c r="B70" s="211"/>
      <c r="C70" s="211"/>
      <c r="D70" s="211"/>
      <c r="E70" s="56">
        <v>3</v>
      </c>
      <c r="F70" s="2">
        <f>+H33</f>
        <v>46.5</v>
      </c>
      <c r="G70" s="56">
        <v>5</v>
      </c>
      <c r="H70" s="15">
        <f t="shared" ref="H70:I70" si="175">+H69</f>
        <v>45.39</v>
      </c>
      <c r="I70" s="2">
        <f t="shared" si="175"/>
        <v>80</v>
      </c>
      <c r="J70" s="18">
        <f t="shared" si="7"/>
        <v>1.3874999999999993E-2</v>
      </c>
      <c r="K70" s="2">
        <f t="shared" ref="K70:K71" si="176">+K69</f>
        <v>158</v>
      </c>
      <c r="L70" s="15">
        <f t="shared" si="8"/>
        <v>5.1920402377148429</v>
      </c>
      <c r="M70" s="33">
        <f t="shared" si="163"/>
        <v>5.1920402377148428E-3</v>
      </c>
      <c r="N70" s="33">
        <f t="shared" si="110"/>
        <v>8.5396363058151126E-2</v>
      </c>
      <c r="O70" s="33">
        <f t="shared" si="126"/>
        <v>3.3620615377224854</v>
      </c>
      <c r="P70" s="58">
        <f t="shared" si="10"/>
        <v>6</v>
      </c>
      <c r="Q70" s="55">
        <f>IF(O70&gt;0,VLOOKUP(P70,'$ alcantarillado'!$I$5:$L$22,4,FALSE),"0")</f>
        <v>0.14499999999999999</v>
      </c>
      <c r="R70" s="55">
        <f t="shared" si="127"/>
        <v>2.130497631231059E-2</v>
      </c>
      <c r="S70" s="35">
        <f t="shared" si="128"/>
        <v>0.24370082189271161</v>
      </c>
      <c r="T70" s="58">
        <f>+IF(S70&gt;$B$13,VLOOKUP(P70,'$ alcantarillado'!$I$6:$N$22,5),P70)</f>
        <v>6</v>
      </c>
      <c r="U70" s="55">
        <f>IF(O70&gt;0,VLOOKUP(T70,'$ alcantarillado'!$I$5:$L$22,4),"0")</f>
        <v>0.14499999999999999</v>
      </c>
      <c r="V70" s="55">
        <f t="shared" si="111"/>
        <v>2.130497631231059E-2</v>
      </c>
      <c r="W70" s="35">
        <f t="shared" si="129"/>
        <v>0.24370082189271161</v>
      </c>
      <c r="X70" s="35">
        <f t="shared" si="164"/>
        <v>1.2901944513902386</v>
      </c>
      <c r="Y70" s="55">
        <f>IF(T70&gt;0,(VLOOKUP($W70,Relaciones!$A$4:$D$108,2)),"")</f>
        <v>0.68700000000000006</v>
      </c>
      <c r="Z70" s="35">
        <f t="shared" si="165"/>
        <v>0.88636358810509397</v>
      </c>
      <c r="AA70" s="35">
        <f t="shared" si="166"/>
        <v>0.50296874999999974</v>
      </c>
      <c r="AB70" s="46" t="str">
        <f t="shared" si="167"/>
        <v>OK</v>
      </c>
      <c r="AC70" s="46" t="str">
        <f t="shared" si="168"/>
        <v>OK</v>
      </c>
      <c r="AD70" s="46" t="str">
        <f t="shared" si="169"/>
        <v>OK</v>
      </c>
      <c r="AE70" s="48">
        <f t="shared" si="170"/>
        <v>1</v>
      </c>
      <c r="AF70" s="48">
        <f t="shared" si="171"/>
        <v>1</v>
      </c>
      <c r="AG70" s="48">
        <f t="shared" si="172"/>
        <v>1</v>
      </c>
      <c r="AH70" s="48">
        <f t="shared" si="173"/>
        <v>3</v>
      </c>
      <c r="AI70" s="46">
        <f t="shared" si="174"/>
        <v>0.64500000000000002</v>
      </c>
      <c r="AJ70" s="20">
        <f>IF(AI70&gt;0,I70*VLOOKUP(T70,'$ alcantarillado'!$I$6:$K$22,3),0)</f>
        <v>1912173.3333333335</v>
      </c>
      <c r="AK70" s="20">
        <f t="shared" si="92"/>
        <v>4428054.0000000047</v>
      </c>
      <c r="AL70" s="20">
        <f t="shared" si="93"/>
        <v>1985755.9450000019</v>
      </c>
      <c r="AM70" s="20">
        <f t="shared" si="21"/>
        <v>8325983.2783333398</v>
      </c>
      <c r="AN70" s="50">
        <f>+AP33</f>
        <v>5421411.7783333398</v>
      </c>
      <c r="AO70" s="78">
        <f t="shared" si="106"/>
        <v>13747395.05666668</v>
      </c>
      <c r="AP70" s="215"/>
      <c r="AQ70" s="2">
        <v>1</v>
      </c>
      <c r="AR70" s="9">
        <v>5</v>
      </c>
    </row>
    <row r="71" spans="1:44" x14ac:dyDescent="0.25">
      <c r="A71" s="211"/>
      <c r="B71" s="211"/>
      <c r="C71" s="211"/>
      <c r="D71" s="211"/>
      <c r="E71" s="56">
        <v>4</v>
      </c>
      <c r="F71" s="2">
        <f>+H38</f>
        <v>46</v>
      </c>
      <c r="G71" s="56">
        <v>5</v>
      </c>
      <c r="H71" s="15">
        <f t="shared" ref="H71:I71" si="177">+H70</f>
        <v>45.39</v>
      </c>
      <c r="I71" s="2">
        <f t="shared" si="177"/>
        <v>80</v>
      </c>
      <c r="J71" s="18">
        <f>+(F71-H71)/I71</f>
        <v>7.6249999999999929E-3</v>
      </c>
      <c r="K71" s="2">
        <f t="shared" si="176"/>
        <v>158</v>
      </c>
      <c r="L71" s="15">
        <f t="shared" si="8"/>
        <v>5.1920402377148429</v>
      </c>
      <c r="M71" s="33">
        <f t="shared" si="163"/>
        <v>5.1920402377148428E-3</v>
      </c>
      <c r="N71" s="33">
        <f t="shared" si="110"/>
        <v>9.5540627508621162E-2</v>
      </c>
      <c r="O71" s="33">
        <f t="shared" si="126"/>
        <v>3.7614420278984713</v>
      </c>
      <c r="P71" s="58">
        <f t="shared" si="10"/>
        <v>6</v>
      </c>
      <c r="Q71" s="55">
        <f>IF(O71&gt;0,VLOOKUP(P71,'$ alcantarillado'!$I$5:$L$22,4,FALSE),"0")</f>
        <v>0.14499999999999999</v>
      </c>
      <c r="R71" s="55">
        <f t="shared" si="127"/>
        <v>1.5793721798551638E-2</v>
      </c>
      <c r="S71" s="35">
        <f t="shared" si="128"/>
        <v>0.32874076825837079</v>
      </c>
      <c r="T71" s="58">
        <f>+IF(S71&gt;$B$13,VLOOKUP(P71,'$ alcantarillado'!$I$6:$N$22,5),P71)</f>
        <v>6</v>
      </c>
      <c r="U71" s="55">
        <f>IF(O71&gt;0,VLOOKUP(T71,'$ alcantarillado'!$I$5:$L$22,4),"0")</f>
        <v>0.14499999999999999</v>
      </c>
      <c r="V71" s="55">
        <f t="shared" si="111"/>
        <v>1.5793721798551638E-2</v>
      </c>
      <c r="W71" s="35">
        <f t="shared" si="129"/>
        <v>0.32874076825837079</v>
      </c>
      <c r="X71" s="35">
        <f t="shared" si="164"/>
        <v>0.95644190974847587</v>
      </c>
      <c r="Y71" s="55">
        <f>IF(T71&gt;0,(VLOOKUP($W71,Relaciones!$A$4:$D$108,2)),"")</f>
        <v>0.74</v>
      </c>
      <c r="Z71" s="35">
        <f t="shared" si="165"/>
        <v>0.70776701321387214</v>
      </c>
      <c r="AA71" s="35">
        <f t="shared" si="166"/>
        <v>0.27640624999999974</v>
      </c>
      <c r="AB71" s="46" t="str">
        <f t="shared" si="167"/>
        <v>OK</v>
      </c>
      <c r="AC71" s="46" t="str">
        <f t="shared" si="168"/>
        <v>OK</v>
      </c>
      <c r="AD71" s="46" t="str">
        <f t="shared" si="169"/>
        <v>OK</v>
      </c>
      <c r="AE71" s="48">
        <f t="shared" si="170"/>
        <v>1</v>
      </c>
      <c r="AF71" s="48">
        <f t="shared" si="171"/>
        <v>1</v>
      </c>
      <c r="AG71" s="48">
        <f t="shared" si="172"/>
        <v>1</v>
      </c>
      <c r="AH71" s="48">
        <f t="shared" si="173"/>
        <v>3</v>
      </c>
      <c r="AI71" s="46">
        <f t="shared" si="174"/>
        <v>0.64500000000000002</v>
      </c>
      <c r="AJ71" s="20">
        <f>IF(AI71&gt;0,I71*VLOOKUP(T71,'$ alcantarillado'!$I$6:$K$22,3),0)</f>
        <v>1912173.3333333335</v>
      </c>
      <c r="AK71" s="20">
        <f t="shared" si="92"/>
        <v>4892454.0000000037</v>
      </c>
      <c r="AL71" s="20">
        <f t="shared" si="93"/>
        <v>2334746.4450000022</v>
      </c>
      <c r="AM71" s="20">
        <f t="shared" si="21"/>
        <v>9139373.7783333398</v>
      </c>
      <c r="AN71" s="50">
        <f>+AP38</f>
        <v>5653611.7783333398</v>
      </c>
      <c r="AO71" s="78">
        <f t="shared" si="106"/>
        <v>14792985.55666668</v>
      </c>
      <c r="AP71" s="215"/>
      <c r="AQ71" s="2"/>
      <c r="AR71" s="9"/>
    </row>
    <row r="72" spans="1:44" ht="15.75" thickBot="1" x14ac:dyDescent="0.3">
      <c r="A72" s="212"/>
      <c r="B72" s="212"/>
      <c r="C72" s="212"/>
      <c r="D72" s="212"/>
      <c r="E72" s="6">
        <v>5</v>
      </c>
      <c r="F72" s="126">
        <f>+H43</f>
        <v>45.5</v>
      </c>
      <c r="G72" s="6">
        <v>5</v>
      </c>
      <c r="H72" s="16">
        <f>+H71</f>
        <v>45.39</v>
      </c>
      <c r="I72" s="10">
        <f>+I71</f>
        <v>80</v>
      </c>
      <c r="J72" s="19">
        <f t="shared" si="7"/>
        <v>1.374999999999993E-3</v>
      </c>
      <c r="K72" s="10">
        <f>+K71</f>
        <v>158</v>
      </c>
      <c r="L72" s="16">
        <f t="shared" si="8"/>
        <v>5.1920402377148429</v>
      </c>
      <c r="M72" s="34">
        <f t="shared" si="163"/>
        <v>5.1920402377148428E-3</v>
      </c>
      <c r="N72" s="34">
        <f t="shared" si="110"/>
        <v>0.1317274561340005</v>
      </c>
      <c r="O72" s="34">
        <f t="shared" si="126"/>
        <v>5.18612032023624</v>
      </c>
      <c r="P72" s="59">
        <f t="shared" si="10"/>
        <v>6</v>
      </c>
      <c r="Q72" s="55">
        <f>IF(O72&gt;0,VLOOKUP(P72,'$ alcantarillado'!$I$5:$L$22,4,FALSE),"0")</f>
        <v>0.14499999999999999</v>
      </c>
      <c r="R72" s="47">
        <f t="shared" si="127"/>
        <v>6.7068085429640217E-3</v>
      </c>
      <c r="S72" s="35">
        <f t="shared" si="128"/>
        <v>0.77414469258433027</v>
      </c>
      <c r="T72" s="58">
        <f>+IF(S72&gt;$B$13,VLOOKUP(P72,'$ alcantarillado'!$I$6:$N$22,5),P72)</f>
        <v>6</v>
      </c>
      <c r="U72" s="55">
        <f>IF(O72&gt;0,VLOOKUP(T72,'$ alcantarillado'!$I$5:$L$22,4),"0")</f>
        <v>0.14499999999999999</v>
      </c>
      <c r="V72" s="55">
        <f t="shared" si="111"/>
        <v>6.7068085429640217E-3</v>
      </c>
      <c r="W72" s="35">
        <f t="shared" si="129"/>
        <v>0.77414469258433027</v>
      </c>
      <c r="X72" s="35">
        <f t="shared" si="164"/>
        <v>0.4061533344052039</v>
      </c>
      <c r="Y72" s="55">
        <f>IF(T72&gt;0,(VLOOKUP($W72,Relaciones!$A$4:$D$108,2)),"")</f>
        <v>0.97199999999999998</v>
      </c>
      <c r="Z72" s="35">
        <f t="shared" si="165"/>
        <v>0.39478104104185818</v>
      </c>
      <c r="AA72" s="35">
        <f t="shared" si="166"/>
        <v>4.9843749999999742E-2</v>
      </c>
      <c r="AB72" s="46" t="str">
        <f t="shared" si="167"/>
        <v>OK</v>
      </c>
      <c r="AC72" s="46" t="str">
        <f t="shared" si="168"/>
        <v>No Cumple</v>
      </c>
      <c r="AD72" s="46" t="str">
        <f t="shared" si="169"/>
        <v>No Cumple</v>
      </c>
      <c r="AE72" s="48">
        <f t="shared" si="170"/>
        <v>1</v>
      </c>
      <c r="AF72" s="48">
        <f t="shared" si="171"/>
        <v>0</v>
      </c>
      <c r="AG72" s="48">
        <f t="shared" si="172"/>
        <v>0</v>
      </c>
      <c r="AH72" s="48">
        <f t="shared" si="173"/>
        <v>1</v>
      </c>
      <c r="AI72" s="46">
        <f t="shared" si="174"/>
        <v>0</v>
      </c>
      <c r="AJ72" s="22">
        <f>IF(AI72&gt;0,I72*VLOOKUP(T72,'$ alcantarillado'!$I$6:$K$22,3),0)</f>
        <v>0</v>
      </c>
      <c r="AK72" s="20">
        <f t="shared" si="92"/>
        <v>0</v>
      </c>
      <c r="AL72" s="20">
        <f t="shared" si="93"/>
        <v>0</v>
      </c>
      <c r="AM72" s="22">
        <f t="shared" si="21"/>
        <v>0</v>
      </c>
      <c r="AN72" s="51">
        <f>+AP43</f>
        <v>5885811.7783333398</v>
      </c>
      <c r="AO72" s="79" t="str">
        <f t="shared" si="106"/>
        <v/>
      </c>
      <c r="AP72" s="216"/>
      <c r="AQ72" s="2"/>
      <c r="AR72" s="9"/>
    </row>
    <row r="73" spans="1:44" x14ac:dyDescent="0.25">
      <c r="A73" s="229">
        <v>3</v>
      </c>
      <c r="B73" s="229">
        <v>5</v>
      </c>
      <c r="C73" s="229">
        <v>6</v>
      </c>
      <c r="D73" s="229">
        <v>49.09</v>
      </c>
      <c r="E73" s="127">
        <v>1</v>
      </c>
      <c r="F73" s="176">
        <f>IF(H48&lt;H176,H48,H176)</f>
        <v>47.39</v>
      </c>
      <c r="G73" s="127">
        <v>1</v>
      </c>
      <c r="H73" s="128">
        <f>+$D$98-$B$5-$B$4</f>
        <v>47.39</v>
      </c>
      <c r="I73" s="129">
        <v>80</v>
      </c>
      <c r="J73" s="130">
        <f>+(F73-H73)/I73</f>
        <v>0</v>
      </c>
      <c r="K73" s="131">
        <f>+K48+(K176)+H4</f>
        <v>1264</v>
      </c>
      <c r="L73" s="132">
        <f>IF(K73&lt;38,K73^0.3686*0.7401,IF(K73&lt;235,K73^0.4193*0.6215,IF(K73&lt;932,K73*0.0092+4.2493,K73*0.0069+6.7345)))</f>
        <v>15.456099999999999</v>
      </c>
      <c r="M73" s="133">
        <f>+L73/1000</f>
        <v>1.5456099999999999E-2</v>
      </c>
      <c r="N73" s="133">
        <f t="shared" si="110"/>
        <v>0</v>
      </c>
      <c r="O73" s="133">
        <f t="shared" si="126"/>
        <v>0</v>
      </c>
      <c r="P73" s="134">
        <f t="shared" si="10"/>
        <v>0</v>
      </c>
      <c r="Q73" s="135" t="str">
        <f>IF(O73&gt;0,VLOOKUP(P73,'$ alcantarillado'!$I$5:$L$22,4,FALSE),"0")</f>
        <v>0</v>
      </c>
      <c r="R73" s="135" t="str">
        <f t="shared" si="127"/>
        <v/>
      </c>
      <c r="S73" s="136">
        <f t="shared" si="128"/>
        <v>0</v>
      </c>
      <c r="T73" s="134">
        <f>+IF(S73&gt;$B$13,VLOOKUP(P73,'$ alcantarillado'!$I$6:$N$22,5),P73)</f>
        <v>0</v>
      </c>
      <c r="U73" s="135" t="str">
        <f>IF(O73&gt;0,VLOOKUP(T73,'$ alcantarillado'!$I$5:$L$22,4),"0")</f>
        <v>0</v>
      </c>
      <c r="V73" s="135" t="str">
        <f t="shared" si="111"/>
        <v/>
      </c>
      <c r="W73" s="136">
        <f t="shared" si="129"/>
        <v>0</v>
      </c>
      <c r="X73" s="136" t="str">
        <f>IF(T73&gt;0,4*V73/(PI()*(U73)^2),"")</f>
        <v/>
      </c>
      <c r="Y73" s="135" t="str">
        <f>IF(T73&gt;0,(VLOOKUP($W73,Relaciones!$A$4:$D$108,2)),"")</f>
        <v/>
      </c>
      <c r="Z73" s="136" t="str">
        <f>IF(T73&gt;0,Y73*X73,"")</f>
        <v/>
      </c>
      <c r="AA73" s="136" t="str">
        <f>IF(T73&gt;0,250*U73*J73,"")</f>
        <v/>
      </c>
      <c r="AB73" s="137" t="str">
        <f>IF(T73&gt;0,IF(W73&lt;=$B$13,"OK","No Cumple"),"")</f>
        <v/>
      </c>
      <c r="AC73" s="137" t="str">
        <f>IF(T73&gt;0,IF(Z73&gt;=$B$12,"OK","No Cumple"),"")</f>
        <v/>
      </c>
      <c r="AD73" s="137" t="str">
        <f>IF(T73&gt;0,IF(AA73&gt;$B$14,"OK","No Cumple"),"")</f>
        <v/>
      </c>
      <c r="AE73" s="138">
        <f>+IF(AB73="OK",1,0)</f>
        <v>0</v>
      </c>
      <c r="AF73" s="138">
        <f>+IF(AC73="OK",1,0)</f>
        <v>0</v>
      </c>
      <c r="AG73" s="138">
        <f>+IF(AD73="OK",1,0)</f>
        <v>0</v>
      </c>
      <c r="AH73" s="138">
        <f>SUM(AE73:AG73)</f>
        <v>0</v>
      </c>
      <c r="AI73" s="137">
        <f>IF(AH73=3,2*$B$7+U73,0)</f>
        <v>0</v>
      </c>
      <c r="AJ73" s="139">
        <f>IF(AI73&gt;0,I73*VLOOKUP(T73,'$ alcantarillado'!$I$6:$K$22,3),0)</f>
        <v>0</v>
      </c>
      <c r="AK73" s="139">
        <f t="shared" ref="AK73:AK97" si="178">IF(N73&gt;0,((($D$73-F73)+(U73))+(($D$98-H73)+(U73))/2)*AI73*I73*$C$9,0)</f>
        <v>0</v>
      </c>
      <c r="AL73" s="139">
        <f t="shared" ref="AL73:AL97" si="179">IF(AI73&gt;0,(($D$73-F73)+U73)*$C$10,0)</f>
        <v>0</v>
      </c>
      <c r="AM73" s="139">
        <f>IF(AJ73&gt;0,AJ73+AK73+AL73,0)</f>
        <v>0</v>
      </c>
      <c r="AN73" s="179">
        <f>IF(AP48&gt;0,IF(AP176&gt;0,AP48+AP176,0),0)</f>
        <v>0</v>
      </c>
      <c r="AO73" s="140" t="str">
        <f>IF((AM73)&gt;0,IF(AN73&gt;0,AM73+AN73,""),"")</f>
        <v/>
      </c>
      <c r="AP73" s="217">
        <f>+MIN(AO73:AO77)</f>
        <v>0</v>
      </c>
      <c r="AQ73" s="129"/>
      <c r="AR73" s="163"/>
    </row>
    <row r="74" spans="1:44" x14ac:dyDescent="0.25">
      <c r="A74" s="230"/>
      <c r="B74" s="230"/>
      <c r="C74" s="230"/>
      <c r="D74" s="230"/>
      <c r="E74" s="141">
        <v>2</v>
      </c>
      <c r="F74" s="177">
        <f>IF(H53&lt;H181,H53,H181)</f>
        <v>46.89</v>
      </c>
      <c r="G74" s="141">
        <v>1</v>
      </c>
      <c r="H74" s="128">
        <f>+H73</f>
        <v>47.39</v>
      </c>
      <c r="I74" s="142">
        <f>+I73</f>
        <v>80</v>
      </c>
      <c r="J74" s="143">
        <f t="shared" si="7"/>
        <v>-6.2500000000000003E-3</v>
      </c>
      <c r="K74" s="142">
        <f>+K73</f>
        <v>1264</v>
      </c>
      <c r="L74" s="128">
        <f t="shared" si="8"/>
        <v>15.456099999999999</v>
      </c>
      <c r="M74" s="144">
        <f t="shared" ref="M74:M77" si="180">+L74/1000</f>
        <v>1.5456099999999999E-2</v>
      </c>
      <c r="N74" s="144">
        <f t="shared" si="110"/>
        <v>0</v>
      </c>
      <c r="O74" s="144">
        <f t="shared" si="126"/>
        <v>0</v>
      </c>
      <c r="P74" s="145">
        <f t="shared" si="10"/>
        <v>0</v>
      </c>
      <c r="Q74" s="113" t="str">
        <f>IF(O74&gt;0,VLOOKUP(P74,'$ alcantarillado'!$I$5:$L$22,4,FALSE),"0")</f>
        <v>0</v>
      </c>
      <c r="R74" s="113" t="str">
        <f t="shared" si="127"/>
        <v/>
      </c>
      <c r="S74" s="146">
        <f t="shared" si="128"/>
        <v>0</v>
      </c>
      <c r="T74" s="145">
        <f>+IF(S74&gt;$B$13,VLOOKUP(P74,'$ alcantarillado'!$I$6:$N$22,5),P74)</f>
        <v>0</v>
      </c>
      <c r="U74" s="113" t="str">
        <f>IF(O74&gt;0,VLOOKUP(T74,'$ alcantarillado'!$I$5:$L$22,4),"0")</f>
        <v>0</v>
      </c>
      <c r="V74" s="113" t="str">
        <f t="shared" si="111"/>
        <v/>
      </c>
      <c r="W74" s="146">
        <f t="shared" si="129"/>
        <v>0</v>
      </c>
      <c r="X74" s="146" t="str">
        <f t="shared" ref="X74:X77" si="181">IF(T74&gt;0,4*V74/(PI()*(U74)^2),"")</f>
        <v/>
      </c>
      <c r="Y74" s="113" t="str">
        <f>IF(T74&gt;0,(VLOOKUP($W74,Relaciones!$A$4:$D$108,2)),"")</f>
        <v/>
      </c>
      <c r="Z74" s="146" t="str">
        <f t="shared" ref="Z74:Z77" si="182">IF(T74&gt;0,Y74*X74,"")</f>
        <v/>
      </c>
      <c r="AA74" s="146" t="str">
        <f t="shared" ref="AA74:AA77" si="183">IF(T74&gt;0,250*U74*J74,"")</f>
        <v/>
      </c>
      <c r="AB74" s="147" t="str">
        <f t="shared" ref="AB74:AB77" si="184">IF(T74&gt;0,IF(W74&lt;=$B$13,"OK","No Cumple"),"")</f>
        <v/>
      </c>
      <c r="AC74" s="147" t="str">
        <f t="shared" ref="AC74:AC77" si="185">IF(T74&gt;0,IF(Z74&gt;=$B$12,"OK","No Cumple"),"")</f>
        <v/>
      </c>
      <c r="AD74" s="147" t="str">
        <f t="shared" ref="AD74:AD77" si="186">IF(T74&gt;0,IF(AA74&gt;$B$14,"OK","No Cumple"),"")</f>
        <v/>
      </c>
      <c r="AE74" s="148">
        <f t="shared" ref="AE74:AE77" si="187">+IF(AB74="OK",1,0)</f>
        <v>0</v>
      </c>
      <c r="AF74" s="148">
        <f t="shared" ref="AF74:AF77" si="188">+IF(AC74="OK",1,0)</f>
        <v>0</v>
      </c>
      <c r="AG74" s="148">
        <f t="shared" ref="AG74:AG77" si="189">+IF(AD74="OK",1,0)</f>
        <v>0</v>
      </c>
      <c r="AH74" s="148">
        <f t="shared" ref="AH74:AH77" si="190">SUM(AE74:AG74)</f>
        <v>0</v>
      </c>
      <c r="AI74" s="147">
        <f t="shared" ref="AI74:AI77" si="191">IF(AH74=3,2*$B$7+U74,0)</f>
        <v>0</v>
      </c>
      <c r="AJ74" s="149">
        <f>IF(AI74&gt;0,I74*VLOOKUP(T74,'$ alcantarillado'!$I$6:$K$22,3),0)</f>
        <v>0</v>
      </c>
      <c r="AK74" s="149">
        <f t="shared" si="178"/>
        <v>0</v>
      </c>
      <c r="AL74" s="149">
        <f t="shared" si="179"/>
        <v>0</v>
      </c>
      <c r="AM74" s="149">
        <f t="shared" si="21"/>
        <v>0</v>
      </c>
      <c r="AN74" s="180">
        <f>IF(AP53&gt;0,IF(AP181&gt;0,AP53+AP181,0),0)</f>
        <v>23846301.054000024</v>
      </c>
      <c r="AO74" s="150" t="str">
        <f t="shared" si="106"/>
        <v/>
      </c>
      <c r="AP74" s="218"/>
      <c r="AQ74" s="142"/>
      <c r="AR74" s="165"/>
    </row>
    <row r="75" spans="1:44" x14ac:dyDescent="0.25">
      <c r="A75" s="230"/>
      <c r="B75" s="230"/>
      <c r="C75" s="230"/>
      <c r="D75" s="230"/>
      <c r="E75" s="151">
        <v>3</v>
      </c>
      <c r="F75" s="177">
        <f>IF(H58&lt;H186,H58,H186)</f>
        <v>46.39</v>
      </c>
      <c r="G75" s="151">
        <v>1</v>
      </c>
      <c r="H75" s="128">
        <f t="shared" ref="H75" si="192">+H74</f>
        <v>47.39</v>
      </c>
      <c r="I75" s="142">
        <f t="shared" ref="I75" si="193">+I74</f>
        <v>80</v>
      </c>
      <c r="J75" s="143">
        <f t="shared" si="7"/>
        <v>-1.2500000000000001E-2</v>
      </c>
      <c r="K75" s="142">
        <f t="shared" ref="K75" si="194">+K74</f>
        <v>1264</v>
      </c>
      <c r="L75" s="128">
        <f t="shared" si="8"/>
        <v>15.456099999999999</v>
      </c>
      <c r="M75" s="144">
        <f t="shared" si="180"/>
        <v>1.5456099999999999E-2</v>
      </c>
      <c r="N75" s="144">
        <f t="shared" si="110"/>
        <v>0</v>
      </c>
      <c r="O75" s="144">
        <f t="shared" si="126"/>
        <v>0</v>
      </c>
      <c r="P75" s="145">
        <f t="shared" si="10"/>
        <v>0</v>
      </c>
      <c r="Q75" s="113" t="str">
        <f>IF(O75&gt;0,VLOOKUP(P75,'$ alcantarillado'!$I$5:$L$22,4,FALSE),"0")</f>
        <v>0</v>
      </c>
      <c r="R75" s="113" t="str">
        <f t="shared" si="127"/>
        <v/>
      </c>
      <c r="S75" s="146">
        <f t="shared" si="128"/>
        <v>0</v>
      </c>
      <c r="T75" s="145">
        <f>+IF(S75&gt;$B$13,VLOOKUP(P75,'$ alcantarillado'!$I$6:$N$22,5),P75)</f>
        <v>0</v>
      </c>
      <c r="U75" s="113" t="str">
        <f>IF(O75&gt;0,VLOOKUP(T75,'$ alcantarillado'!$I$5:$L$22,4),"0")</f>
        <v>0</v>
      </c>
      <c r="V75" s="113" t="str">
        <f t="shared" si="111"/>
        <v/>
      </c>
      <c r="W75" s="146">
        <f t="shared" si="129"/>
        <v>0</v>
      </c>
      <c r="X75" s="146" t="str">
        <f t="shared" si="181"/>
        <v/>
      </c>
      <c r="Y75" s="113" t="str">
        <f>IF(T75&gt;0,(VLOOKUP($W75,Relaciones!$A$4:$D$108,2)),"")</f>
        <v/>
      </c>
      <c r="Z75" s="146" t="str">
        <f t="shared" si="182"/>
        <v/>
      </c>
      <c r="AA75" s="146" t="str">
        <f t="shared" si="183"/>
        <v/>
      </c>
      <c r="AB75" s="147" t="str">
        <f t="shared" si="184"/>
        <v/>
      </c>
      <c r="AC75" s="147" t="str">
        <f t="shared" si="185"/>
        <v/>
      </c>
      <c r="AD75" s="147" t="str">
        <f t="shared" si="186"/>
        <v/>
      </c>
      <c r="AE75" s="148">
        <f t="shared" si="187"/>
        <v>0</v>
      </c>
      <c r="AF75" s="148">
        <f t="shared" si="188"/>
        <v>0</v>
      </c>
      <c r="AG75" s="148">
        <f t="shared" si="189"/>
        <v>0</v>
      </c>
      <c r="AH75" s="148">
        <f t="shared" si="190"/>
        <v>0</v>
      </c>
      <c r="AI75" s="147">
        <f t="shared" si="191"/>
        <v>0</v>
      </c>
      <c r="AJ75" s="149">
        <f>IF(AI75&gt;0,I75*VLOOKUP(T75,'$ alcantarillado'!$I$6:$K$22,3),0)</f>
        <v>0</v>
      </c>
      <c r="AK75" s="149">
        <f t="shared" si="178"/>
        <v>0</v>
      </c>
      <c r="AL75" s="149">
        <f t="shared" si="179"/>
        <v>0</v>
      </c>
      <c r="AM75" s="149">
        <f t="shared" si="21"/>
        <v>0</v>
      </c>
      <c r="AN75" s="180">
        <f>IF(AP58&gt;0,IF(AP186&gt;0,AP58+AP186,0),0)</f>
        <v>23327184.58366669</v>
      </c>
      <c r="AO75" s="150" t="str">
        <f t="shared" si="106"/>
        <v/>
      </c>
      <c r="AP75" s="219"/>
      <c r="AQ75" s="142"/>
      <c r="AR75" s="165"/>
    </row>
    <row r="76" spans="1:44" x14ac:dyDescent="0.25">
      <c r="A76" s="230"/>
      <c r="B76" s="230"/>
      <c r="C76" s="230"/>
      <c r="D76" s="230"/>
      <c r="E76" s="151">
        <v>4</v>
      </c>
      <c r="F76" s="177">
        <f>IF(H63&lt;H191,H63,H191)</f>
        <v>45.89</v>
      </c>
      <c r="G76" s="151">
        <v>1</v>
      </c>
      <c r="H76" s="128">
        <f t="shared" ref="H76" si="195">+H75</f>
        <v>47.39</v>
      </c>
      <c r="I76" s="142">
        <f t="shared" ref="I76" si="196">+I75</f>
        <v>80</v>
      </c>
      <c r="J76" s="143">
        <f>+(F76-H76)/I76</f>
        <v>-1.8749999999999999E-2</v>
      </c>
      <c r="K76" s="142">
        <f t="shared" ref="K76" si="197">+K75</f>
        <v>1264</v>
      </c>
      <c r="L76" s="128">
        <f t="shared" si="8"/>
        <v>15.456099999999999</v>
      </c>
      <c r="M76" s="144">
        <f t="shared" si="180"/>
        <v>1.5456099999999999E-2</v>
      </c>
      <c r="N76" s="144">
        <f t="shared" si="110"/>
        <v>0</v>
      </c>
      <c r="O76" s="144">
        <f t="shared" si="126"/>
        <v>0</v>
      </c>
      <c r="P76" s="145">
        <f t="shared" si="10"/>
        <v>0</v>
      </c>
      <c r="Q76" s="113" t="str">
        <f>IF(O76&gt;0,VLOOKUP(P76,'$ alcantarillado'!$I$5:$L$22,4,FALSE),"0")</f>
        <v>0</v>
      </c>
      <c r="R76" s="113" t="str">
        <f t="shared" si="127"/>
        <v/>
      </c>
      <c r="S76" s="146">
        <f t="shared" si="128"/>
        <v>0</v>
      </c>
      <c r="T76" s="145">
        <f>+IF(S76&gt;$B$13,VLOOKUP(P76,'$ alcantarillado'!$I$6:$N$22,5),P76)</f>
        <v>0</v>
      </c>
      <c r="U76" s="113" t="str">
        <f>IF(O76&gt;0,VLOOKUP(T76,'$ alcantarillado'!$I$5:$L$22,4),"0")</f>
        <v>0</v>
      </c>
      <c r="V76" s="113" t="str">
        <f t="shared" si="111"/>
        <v/>
      </c>
      <c r="W76" s="146">
        <f t="shared" si="129"/>
        <v>0</v>
      </c>
      <c r="X76" s="146" t="str">
        <f t="shared" si="181"/>
        <v/>
      </c>
      <c r="Y76" s="113" t="str">
        <f>IF(T76&gt;0,(VLOOKUP($W76,Relaciones!$A$4:$D$108,2)),"")</f>
        <v/>
      </c>
      <c r="Z76" s="146" t="str">
        <f t="shared" si="182"/>
        <v/>
      </c>
      <c r="AA76" s="146" t="str">
        <f t="shared" si="183"/>
        <v/>
      </c>
      <c r="AB76" s="147" t="str">
        <f t="shared" si="184"/>
        <v/>
      </c>
      <c r="AC76" s="147" t="str">
        <f t="shared" si="185"/>
        <v/>
      </c>
      <c r="AD76" s="147" t="str">
        <f t="shared" si="186"/>
        <v/>
      </c>
      <c r="AE76" s="148">
        <f t="shared" si="187"/>
        <v>0</v>
      </c>
      <c r="AF76" s="148">
        <f t="shared" si="188"/>
        <v>0</v>
      </c>
      <c r="AG76" s="148">
        <f t="shared" si="189"/>
        <v>0</v>
      </c>
      <c r="AH76" s="148">
        <f t="shared" si="190"/>
        <v>0</v>
      </c>
      <c r="AI76" s="147">
        <f t="shared" si="191"/>
        <v>0</v>
      </c>
      <c r="AJ76" s="149">
        <f>IF(AI76&gt;0,I76*VLOOKUP(T76,'$ alcantarillado'!$I$6:$K$22,3),0)</f>
        <v>0</v>
      </c>
      <c r="AK76" s="149">
        <f t="shared" si="178"/>
        <v>0</v>
      </c>
      <c r="AL76" s="149">
        <f t="shared" si="179"/>
        <v>0</v>
      </c>
      <c r="AM76" s="149">
        <f t="shared" si="21"/>
        <v>0</v>
      </c>
      <c r="AN76" s="180">
        <f>IF(AP63&gt;0,IF(AP191&gt;0,AP63+AP191,0),0)</f>
        <v>23791584.58366669</v>
      </c>
      <c r="AO76" s="150" t="str">
        <f t="shared" si="106"/>
        <v/>
      </c>
      <c r="AP76" s="219"/>
      <c r="AQ76" s="142"/>
      <c r="AR76" s="165"/>
    </row>
    <row r="77" spans="1:44" ht="15.75" thickBot="1" x14ac:dyDescent="0.3">
      <c r="A77" s="230"/>
      <c r="B77" s="230"/>
      <c r="C77" s="230"/>
      <c r="D77" s="230"/>
      <c r="E77" s="152">
        <v>5</v>
      </c>
      <c r="F77" s="178">
        <f>IF(H68&lt;H196,H68,H196)</f>
        <v>45.39</v>
      </c>
      <c r="G77" s="152">
        <v>1</v>
      </c>
      <c r="H77" s="153">
        <f t="shared" ref="H77" si="198">+H76</f>
        <v>47.39</v>
      </c>
      <c r="I77" s="154">
        <f>+I76</f>
        <v>80</v>
      </c>
      <c r="J77" s="155">
        <f t="shared" si="7"/>
        <v>-2.5000000000000001E-2</v>
      </c>
      <c r="K77" s="154">
        <f>+K76</f>
        <v>1264</v>
      </c>
      <c r="L77" s="153">
        <f t="shared" si="8"/>
        <v>15.456099999999999</v>
      </c>
      <c r="M77" s="156">
        <f t="shared" si="180"/>
        <v>1.5456099999999999E-2</v>
      </c>
      <c r="N77" s="156">
        <f t="shared" si="110"/>
        <v>0</v>
      </c>
      <c r="O77" s="156">
        <f t="shared" si="126"/>
        <v>0</v>
      </c>
      <c r="P77" s="157">
        <f t="shared" si="10"/>
        <v>0</v>
      </c>
      <c r="Q77" s="113" t="str">
        <f>IF(O77&gt;0,VLOOKUP(P77,'$ alcantarillado'!$I$5:$L$22,4,FALSE),"0")</f>
        <v>0</v>
      </c>
      <c r="R77" s="113" t="str">
        <f t="shared" si="127"/>
        <v/>
      </c>
      <c r="S77" s="146">
        <f t="shared" si="128"/>
        <v>0</v>
      </c>
      <c r="T77" s="145">
        <f>+IF(S77&gt;$B$13,VLOOKUP(P77,'$ alcantarillado'!$I$6:$N$22,5),P77)</f>
        <v>0</v>
      </c>
      <c r="U77" s="113" t="str">
        <f>IF(O77&gt;0,VLOOKUP(T77,'$ alcantarillado'!$I$5:$L$22,4),"0")</f>
        <v>0</v>
      </c>
      <c r="V77" s="113" t="str">
        <f t="shared" si="111"/>
        <v/>
      </c>
      <c r="W77" s="146">
        <f t="shared" si="129"/>
        <v>0</v>
      </c>
      <c r="X77" s="146" t="str">
        <f t="shared" si="181"/>
        <v/>
      </c>
      <c r="Y77" s="113" t="str">
        <f>IF(T77&gt;0,(VLOOKUP($W77,Relaciones!$A$4:$D$108,2)),"")</f>
        <v/>
      </c>
      <c r="Z77" s="146" t="str">
        <f t="shared" si="182"/>
        <v/>
      </c>
      <c r="AA77" s="146" t="str">
        <f t="shared" si="183"/>
        <v/>
      </c>
      <c r="AB77" s="147" t="str">
        <f t="shared" si="184"/>
        <v/>
      </c>
      <c r="AC77" s="147" t="str">
        <f t="shared" si="185"/>
        <v/>
      </c>
      <c r="AD77" s="147" t="str">
        <f t="shared" si="186"/>
        <v/>
      </c>
      <c r="AE77" s="148">
        <f t="shared" si="187"/>
        <v>0</v>
      </c>
      <c r="AF77" s="148">
        <f t="shared" si="188"/>
        <v>0</v>
      </c>
      <c r="AG77" s="148">
        <f t="shared" si="189"/>
        <v>0</v>
      </c>
      <c r="AH77" s="148">
        <f t="shared" si="190"/>
        <v>0</v>
      </c>
      <c r="AI77" s="147">
        <f t="shared" si="191"/>
        <v>0</v>
      </c>
      <c r="AJ77" s="158">
        <f>IF(AI77&gt;0,I77*VLOOKUP(T77,'$ alcantarillado'!$I$6:$K$22,3),0)</f>
        <v>0</v>
      </c>
      <c r="AK77" s="149">
        <f t="shared" si="178"/>
        <v>0</v>
      </c>
      <c r="AL77" s="149">
        <f t="shared" si="179"/>
        <v>0</v>
      </c>
      <c r="AM77" s="158">
        <f t="shared" si="21"/>
        <v>0</v>
      </c>
      <c r="AN77" s="181">
        <f>IF(AP68&gt;0,IF(AP196&gt;0,AP68+AP196,0),0)</f>
        <v>24255984.58366669</v>
      </c>
      <c r="AO77" s="159" t="str">
        <f t="shared" si="106"/>
        <v/>
      </c>
      <c r="AP77" s="220"/>
      <c r="AQ77" s="154"/>
      <c r="AR77" s="166"/>
    </row>
    <row r="78" spans="1:44" x14ac:dyDescent="0.25">
      <c r="A78" s="230"/>
      <c r="B78" s="230"/>
      <c r="C78" s="230"/>
      <c r="D78" s="230"/>
      <c r="E78" s="127">
        <v>1</v>
      </c>
      <c r="F78" s="176">
        <f>IF(H49&lt;H177,H49,H177)</f>
        <v>47.39</v>
      </c>
      <c r="G78" s="127">
        <v>2</v>
      </c>
      <c r="H78" s="128">
        <f>+H73-$B$4</f>
        <v>46.89</v>
      </c>
      <c r="I78" s="142">
        <f>+I77</f>
        <v>80</v>
      </c>
      <c r="J78" s="143">
        <f>+(F78-H78)/I78</f>
        <v>6.2500000000000003E-3</v>
      </c>
      <c r="K78" s="142">
        <f>+K77</f>
        <v>1264</v>
      </c>
      <c r="L78" s="132">
        <f>IF(K78&lt;38,K78^0.3686*0.7401,IF(K78&lt;235,K78^0.4193*0.6215,IF(K78&lt;932,K78*0.0092+4.2493,K78*0.0069+6.7345)))</f>
        <v>15.456099999999999</v>
      </c>
      <c r="M78" s="133">
        <f>+L78/1000</f>
        <v>1.5456099999999999E-2</v>
      </c>
      <c r="N78" s="133">
        <f t="shared" si="110"/>
        <v>0.14929362341696081</v>
      </c>
      <c r="O78" s="133">
        <f t="shared" si="126"/>
        <v>5.8777017093291661</v>
      </c>
      <c r="P78" s="134">
        <f t="shared" si="10"/>
        <v>6</v>
      </c>
      <c r="Q78" s="135">
        <f>IF(O78&gt;0,VLOOKUP(P78,'$ alcantarillado'!$I$5:$L$22,4,FALSE),"0")</f>
        <v>0.14499999999999999</v>
      </c>
      <c r="R78" s="135">
        <f t="shared" si="127"/>
        <v>1.4298963858198607E-2</v>
      </c>
      <c r="S78" s="136">
        <f t="shared" si="128"/>
        <v>1.0809244748973839</v>
      </c>
      <c r="T78" s="134">
        <f>+IF(S78&gt;$B$13,VLOOKUP(P78,'$ alcantarillado'!$I$6:$N$22,5),P78)</f>
        <v>8</v>
      </c>
      <c r="U78" s="135">
        <f>IF(O78&gt;0,VLOOKUP(T78,'$ alcantarillado'!$I$5:$L$22,4),"0")</f>
        <v>0.182</v>
      </c>
      <c r="V78" s="135">
        <f t="shared" si="111"/>
        <v>2.6212811057560712E-2</v>
      </c>
      <c r="W78" s="136">
        <f t="shared" si="129"/>
        <v>0.58963916407362604</v>
      </c>
      <c r="X78" s="136">
        <f>IF(T78&gt;0,4*V78/(PI()*(U78)^2),"")</f>
        <v>1.0075832513330949</v>
      </c>
      <c r="Y78" s="135">
        <f>IF(T78&gt;0,(VLOOKUP($W78,Relaciones!$A$4:$D$108,2)),"")</f>
        <v>0.89</v>
      </c>
      <c r="Z78" s="136">
        <f>IF(T78&gt;0,Y78*X78,"")</f>
        <v>0.8967490936864545</v>
      </c>
      <c r="AA78" s="136">
        <f>IF(T78&gt;0,250*U78*J78,"")</f>
        <v>0.28437499999999999</v>
      </c>
      <c r="AB78" s="137" t="str">
        <f>IF(T78&gt;0,IF(W78&lt;=$B$13,"OK","No Cumple"),"")</f>
        <v>OK</v>
      </c>
      <c r="AC78" s="137" t="str">
        <f>IF(T78&gt;0,IF(Z78&gt;=$B$12,"OK","No Cumple"),"")</f>
        <v>OK</v>
      </c>
      <c r="AD78" s="137" t="str">
        <f>IF(T78&gt;0,IF(AA78&gt;$B$14,"OK","No Cumple"),"")</f>
        <v>OK</v>
      </c>
      <c r="AE78" s="138">
        <f>+IF(AB78="OK",1,0)</f>
        <v>1</v>
      </c>
      <c r="AF78" s="138">
        <f>+IF(AC78="OK",1,0)</f>
        <v>1</v>
      </c>
      <c r="AG78" s="138">
        <f>+IF(AD78="OK",1,0)</f>
        <v>1</v>
      </c>
      <c r="AH78" s="138">
        <f>SUM(AE78:AG78)</f>
        <v>3</v>
      </c>
      <c r="AI78" s="137">
        <f>IF(AH78=3,2*$B$7+U78,0)</f>
        <v>0.68199999999999994</v>
      </c>
      <c r="AJ78" s="139">
        <f>IF(AI78&gt;0,I78*VLOOKUP(T78,'$ alcantarillado'!$I$6:$K$22,3),0)</f>
        <v>2654586.666666667</v>
      </c>
      <c r="AK78" s="139">
        <f t="shared" si="178"/>
        <v>3017931.8400000036</v>
      </c>
      <c r="AL78" s="139">
        <f t="shared" si="179"/>
        <v>1313600.2420000019</v>
      </c>
      <c r="AM78" s="139">
        <f>IF(AJ78&gt;0,AJ78+AK78+AL78,0)</f>
        <v>6986118.748666672</v>
      </c>
      <c r="AN78" s="179">
        <f>IF(AP48&gt;0,IF(AP176&gt;0,AP48+AP176,0),0)</f>
        <v>0</v>
      </c>
      <c r="AO78" s="140" t="str">
        <f>IF((AM78)&gt;0,IF(AN78&gt;0,AM78+AN78,""),"")</f>
        <v/>
      </c>
      <c r="AP78" s="232">
        <f>+MIN(AO78:AO82)</f>
        <v>0</v>
      </c>
      <c r="AQ78" s="142"/>
      <c r="AR78" s="165"/>
    </row>
    <row r="79" spans="1:44" x14ac:dyDescent="0.25">
      <c r="A79" s="230"/>
      <c r="B79" s="230"/>
      <c r="C79" s="230"/>
      <c r="D79" s="230"/>
      <c r="E79" s="141">
        <v>2</v>
      </c>
      <c r="F79" s="177">
        <f>IF(H54&lt;H182,H54,H182)</f>
        <v>46.89</v>
      </c>
      <c r="G79" s="141">
        <v>2</v>
      </c>
      <c r="H79" s="128">
        <f>+H78</f>
        <v>46.89</v>
      </c>
      <c r="I79" s="142">
        <f>+I78</f>
        <v>80</v>
      </c>
      <c r="J79" s="143">
        <f t="shared" si="7"/>
        <v>0</v>
      </c>
      <c r="K79" s="142">
        <f>+K78</f>
        <v>1264</v>
      </c>
      <c r="L79" s="128">
        <f t="shared" si="8"/>
        <v>15.456099999999999</v>
      </c>
      <c r="M79" s="144">
        <f t="shared" ref="M79:M82" si="199">+L79/1000</f>
        <v>1.5456099999999999E-2</v>
      </c>
      <c r="N79" s="144">
        <f t="shared" si="110"/>
        <v>0</v>
      </c>
      <c r="O79" s="144">
        <f t="shared" si="126"/>
        <v>0</v>
      </c>
      <c r="P79" s="145">
        <f t="shared" si="10"/>
        <v>0</v>
      </c>
      <c r="Q79" s="113" t="str">
        <f>IF(O79&gt;0,VLOOKUP(P79,'$ alcantarillado'!$I$5:$L$22,4,FALSE),"0")</f>
        <v>0</v>
      </c>
      <c r="R79" s="113" t="str">
        <f t="shared" si="127"/>
        <v/>
      </c>
      <c r="S79" s="146">
        <f t="shared" si="128"/>
        <v>0</v>
      </c>
      <c r="T79" s="145">
        <f>+IF(S79&gt;$B$13,VLOOKUP(P79,'$ alcantarillado'!$I$6:$N$22,5),P79)</f>
        <v>0</v>
      </c>
      <c r="U79" s="113" t="str">
        <f>IF(O79&gt;0,VLOOKUP(T79,'$ alcantarillado'!$I$5:$L$22,4),"0")</f>
        <v>0</v>
      </c>
      <c r="V79" s="113" t="str">
        <f t="shared" si="111"/>
        <v/>
      </c>
      <c r="W79" s="146">
        <f t="shared" si="129"/>
        <v>0</v>
      </c>
      <c r="X79" s="146" t="str">
        <f t="shared" ref="X79:X82" si="200">IF(T79&gt;0,4*V79/(PI()*(U79)^2),"")</f>
        <v/>
      </c>
      <c r="Y79" s="113" t="str">
        <f>IF(T79&gt;0,(VLOOKUP($W79,Relaciones!$A$4:$D$108,2)),"")</f>
        <v/>
      </c>
      <c r="Z79" s="146" t="str">
        <f t="shared" ref="Z79:Z82" si="201">IF(T79&gt;0,Y79*X79,"")</f>
        <v/>
      </c>
      <c r="AA79" s="146" t="str">
        <f t="shared" ref="AA79:AA82" si="202">IF(T79&gt;0,250*U79*J79,"")</f>
        <v/>
      </c>
      <c r="AB79" s="147" t="str">
        <f t="shared" ref="AB79:AB82" si="203">IF(T79&gt;0,IF(W79&lt;=$B$13,"OK","No Cumple"),"")</f>
        <v/>
      </c>
      <c r="AC79" s="147" t="str">
        <f t="shared" ref="AC79:AC82" si="204">IF(T79&gt;0,IF(Z79&gt;=$B$12,"OK","No Cumple"),"")</f>
        <v/>
      </c>
      <c r="AD79" s="147" t="str">
        <f t="shared" ref="AD79:AD82" si="205">IF(T79&gt;0,IF(AA79&gt;$B$14,"OK","No Cumple"),"")</f>
        <v/>
      </c>
      <c r="AE79" s="148">
        <f t="shared" ref="AE79:AE82" si="206">+IF(AB79="OK",1,0)</f>
        <v>0</v>
      </c>
      <c r="AF79" s="148">
        <f t="shared" ref="AF79:AF82" si="207">+IF(AC79="OK",1,0)</f>
        <v>0</v>
      </c>
      <c r="AG79" s="148">
        <f t="shared" ref="AG79:AG82" si="208">+IF(AD79="OK",1,0)</f>
        <v>0</v>
      </c>
      <c r="AH79" s="148">
        <f t="shared" ref="AH79:AH82" si="209">SUM(AE79:AG79)</f>
        <v>0</v>
      </c>
      <c r="AI79" s="147">
        <f t="shared" ref="AI79:AI82" si="210">IF(AH79=3,2*$B$7+U79,0)</f>
        <v>0</v>
      </c>
      <c r="AJ79" s="149">
        <f>IF(AI79&gt;0,I79*VLOOKUP(T79,'$ alcantarillado'!$I$6:$K$22,3),0)</f>
        <v>0</v>
      </c>
      <c r="AK79" s="149">
        <f t="shared" si="178"/>
        <v>0</v>
      </c>
      <c r="AL79" s="149">
        <f t="shared" si="179"/>
        <v>0</v>
      </c>
      <c r="AM79" s="149">
        <f t="shared" si="21"/>
        <v>0</v>
      </c>
      <c r="AN79" s="180">
        <f>IF(AP53&gt;0,IF(AP181&gt;0,AP53+AP181,0),0)</f>
        <v>23846301.054000024</v>
      </c>
      <c r="AO79" s="150" t="str">
        <f t="shared" si="106"/>
        <v/>
      </c>
      <c r="AP79" s="218"/>
      <c r="AQ79" s="142"/>
      <c r="AR79" s="165"/>
    </row>
    <row r="80" spans="1:44" x14ac:dyDescent="0.25">
      <c r="A80" s="230"/>
      <c r="B80" s="230"/>
      <c r="C80" s="230"/>
      <c r="D80" s="230"/>
      <c r="E80" s="151">
        <v>3</v>
      </c>
      <c r="F80" s="177">
        <f>IF(H59&lt;H187,H59,H187)</f>
        <v>46.39</v>
      </c>
      <c r="G80" s="151">
        <v>2</v>
      </c>
      <c r="H80" s="128">
        <f t="shared" ref="H80" si="211">+H79</f>
        <v>46.89</v>
      </c>
      <c r="I80" s="142">
        <f t="shared" ref="I80" si="212">+I79</f>
        <v>80</v>
      </c>
      <c r="J80" s="143">
        <f t="shared" si="7"/>
        <v>-6.2500000000000003E-3</v>
      </c>
      <c r="K80" s="142">
        <f t="shared" ref="K80:K81" si="213">+K79</f>
        <v>1264</v>
      </c>
      <c r="L80" s="128">
        <f t="shared" si="8"/>
        <v>15.456099999999999</v>
      </c>
      <c r="M80" s="144">
        <f t="shared" si="199"/>
        <v>1.5456099999999999E-2</v>
      </c>
      <c r="N80" s="144">
        <f t="shared" si="110"/>
        <v>0</v>
      </c>
      <c r="O80" s="144">
        <f t="shared" si="126"/>
        <v>0</v>
      </c>
      <c r="P80" s="145">
        <f t="shared" si="10"/>
        <v>0</v>
      </c>
      <c r="Q80" s="113" t="str">
        <f>IF(O80&gt;0,VLOOKUP(P80,'$ alcantarillado'!$I$5:$L$22,4,FALSE),"0")</f>
        <v>0</v>
      </c>
      <c r="R80" s="113" t="str">
        <f t="shared" si="127"/>
        <v/>
      </c>
      <c r="S80" s="146">
        <f t="shared" si="128"/>
        <v>0</v>
      </c>
      <c r="T80" s="145">
        <f>+IF(S80&gt;$B$13,VLOOKUP(P80,'$ alcantarillado'!$I$6:$N$22,5),P80)</f>
        <v>0</v>
      </c>
      <c r="U80" s="113" t="str">
        <f>IF(O80&gt;0,VLOOKUP(T80,'$ alcantarillado'!$I$5:$L$22,4),"0")</f>
        <v>0</v>
      </c>
      <c r="V80" s="113" t="str">
        <f t="shared" si="111"/>
        <v/>
      </c>
      <c r="W80" s="146">
        <f t="shared" si="129"/>
        <v>0</v>
      </c>
      <c r="X80" s="146" t="str">
        <f t="shared" si="200"/>
        <v/>
      </c>
      <c r="Y80" s="113" t="str">
        <f>IF(T80&gt;0,(VLOOKUP($W80,Relaciones!$A$4:$D$108,2)),"")</f>
        <v/>
      </c>
      <c r="Z80" s="146" t="str">
        <f t="shared" si="201"/>
        <v/>
      </c>
      <c r="AA80" s="146" t="str">
        <f t="shared" si="202"/>
        <v/>
      </c>
      <c r="AB80" s="147" t="str">
        <f t="shared" si="203"/>
        <v/>
      </c>
      <c r="AC80" s="147" t="str">
        <f t="shared" si="204"/>
        <v/>
      </c>
      <c r="AD80" s="147" t="str">
        <f t="shared" si="205"/>
        <v/>
      </c>
      <c r="AE80" s="148">
        <f t="shared" si="206"/>
        <v>0</v>
      </c>
      <c r="AF80" s="148">
        <f t="shared" si="207"/>
        <v>0</v>
      </c>
      <c r="AG80" s="148">
        <f t="shared" si="208"/>
        <v>0</v>
      </c>
      <c r="AH80" s="148">
        <f t="shared" si="209"/>
        <v>0</v>
      </c>
      <c r="AI80" s="147">
        <f t="shared" si="210"/>
        <v>0</v>
      </c>
      <c r="AJ80" s="149">
        <f>IF(AI80&gt;0,I80*VLOOKUP(T80,'$ alcantarillado'!$I$6:$K$22,3),0)</f>
        <v>0</v>
      </c>
      <c r="AK80" s="149">
        <f t="shared" si="178"/>
        <v>0</v>
      </c>
      <c r="AL80" s="149">
        <f t="shared" si="179"/>
        <v>0</v>
      </c>
      <c r="AM80" s="149">
        <f t="shared" si="21"/>
        <v>0</v>
      </c>
      <c r="AN80" s="180">
        <f>IF(AP58&gt;0,IF(AP186&gt;0,AP58+AP186,0),0)</f>
        <v>23327184.58366669</v>
      </c>
      <c r="AO80" s="150" t="str">
        <f t="shared" si="106"/>
        <v/>
      </c>
      <c r="AP80" s="219"/>
      <c r="AQ80" s="142"/>
      <c r="AR80" s="165"/>
    </row>
    <row r="81" spans="1:44" x14ac:dyDescent="0.25">
      <c r="A81" s="230"/>
      <c r="B81" s="230"/>
      <c r="C81" s="230"/>
      <c r="D81" s="230"/>
      <c r="E81" s="151">
        <v>4</v>
      </c>
      <c r="F81" s="177">
        <f>IF(H64&lt;H192,H64,H192)</f>
        <v>45.89</v>
      </c>
      <c r="G81" s="151">
        <v>2</v>
      </c>
      <c r="H81" s="128">
        <f t="shared" ref="H81" si="214">+H80</f>
        <v>46.89</v>
      </c>
      <c r="I81" s="142">
        <f t="shared" ref="I81" si="215">+I80</f>
        <v>80</v>
      </c>
      <c r="J81" s="143">
        <f>+(F81-H81)/I81</f>
        <v>-1.2500000000000001E-2</v>
      </c>
      <c r="K81" s="142">
        <f t="shared" si="213"/>
        <v>1264</v>
      </c>
      <c r="L81" s="128">
        <f t="shared" si="8"/>
        <v>15.456099999999999</v>
      </c>
      <c r="M81" s="144">
        <f t="shared" si="199"/>
        <v>1.5456099999999999E-2</v>
      </c>
      <c r="N81" s="144">
        <f t="shared" si="110"/>
        <v>0</v>
      </c>
      <c r="O81" s="144">
        <f t="shared" si="126"/>
        <v>0</v>
      </c>
      <c r="P81" s="145">
        <f t="shared" si="10"/>
        <v>0</v>
      </c>
      <c r="Q81" s="113" t="str">
        <f>IF(O81&gt;0,VLOOKUP(P81,'$ alcantarillado'!$I$5:$L$22,4,FALSE),"0")</f>
        <v>0</v>
      </c>
      <c r="R81" s="113" t="str">
        <f t="shared" si="127"/>
        <v/>
      </c>
      <c r="S81" s="146">
        <f t="shared" si="128"/>
        <v>0</v>
      </c>
      <c r="T81" s="145">
        <f>+IF(S81&gt;$B$13,VLOOKUP(P81,'$ alcantarillado'!$I$6:$N$22,5),P81)</f>
        <v>0</v>
      </c>
      <c r="U81" s="113" t="str">
        <f>IF(O81&gt;0,VLOOKUP(T81,'$ alcantarillado'!$I$5:$L$22,4),"0")</f>
        <v>0</v>
      </c>
      <c r="V81" s="113" t="str">
        <f t="shared" si="111"/>
        <v/>
      </c>
      <c r="W81" s="146">
        <f t="shared" si="129"/>
        <v>0</v>
      </c>
      <c r="X81" s="146" t="str">
        <f t="shared" si="200"/>
        <v/>
      </c>
      <c r="Y81" s="113" t="str">
        <f>IF(T81&gt;0,(VLOOKUP($W81,Relaciones!$A$4:$D$108,2)),"")</f>
        <v/>
      </c>
      <c r="Z81" s="146" t="str">
        <f t="shared" si="201"/>
        <v/>
      </c>
      <c r="AA81" s="146" t="str">
        <f t="shared" si="202"/>
        <v/>
      </c>
      <c r="AB81" s="147" t="str">
        <f t="shared" si="203"/>
        <v/>
      </c>
      <c r="AC81" s="147" t="str">
        <f t="shared" si="204"/>
        <v/>
      </c>
      <c r="AD81" s="147" t="str">
        <f t="shared" si="205"/>
        <v/>
      </c>
      <c r="AE81" s="148">
        <f t="shared" si="206"/>
        <v>0</v>
      </c>
      <c r="AF81" s="148">
        <f t="shared" si="207"/>
        <v>0</v>
      </c>
      <c r="AG81" s="148">
        <f t="shared" si="208"/>
        <v>0</v>
      </c>
      <c r="AH81" s="148">
        <f t="shared" si="209"/>
        <v>0</v>
      </c>
      <c r="AI81" s="147">
        <f t="shared" si="210"/>
        <v>0</v>
      </c>
      <c r="AJ81" s="149">
        <f>IF(AI81&gt;0,I81*VLOOKUP(T81,'$ alcantarillado'!$I$6:$K$22,3),0)</f>
        <v>0</v>
      </c>
      <c r="AK81" s="149">
        <f t="shared" si="178"/>
        <v>0</v>
      </c>
      <c r="AL81" s="149">
        <f t="shared" si="179"/>
        <v>0</v>
      </c>
      <c r="AM81" s="149">
        <f t="shared" si="21"/>
        <v>0</v>
      </c>
      <c r="AN81" s="180">
        <f>IF(AP63&gt;0,IF(AP191&gt;0,AP63+AP191,0),0)</f>
        <v>23791584.58366669</v>
      </c>
      <c r="AO81" s="150" t="str">
        <f t="shared" si="106"/>
        <v/>
      </c>
      <c r="AP81" s="219"/>
      <c r="AQ81" s="142"/>
      <c r="AR81" s="165"/>
    </row>
    <row r="82" spans="1:44" ht="15.75" thickBot="1" x14ac:dyDescent="0.3">
      <c r="A82" s="230"/>
      <c r="B82" s="230"/>
      <c r="C82" s="230"/>
      <c r="D82" s="230"/>
      <c r="E82" s="152">
        <v>5</v>
      </c>
      <c r="F82" s="178">
        <f>IF(H69&lt;H197,H69,H197)</f>
        <v>45.39</v>
      </c>
      <c r="G82" s="152">
        <v>2</v>
      </c>
      <c r="H82" s="153">
        <f>+H81</f>
        <v>46.89</v>
      </c>
      <c r="I82" s="154">
        <f>+I81</f>
        <v>80</v>
      </c>
      <c r="J82" s="155">
        <f t="shared" si="7"/>
        <v>-1.8749999999999999E-2</v>
      </c>
      <c r="K82" s="154">
        <f>+K81</f>
        <v>1264</v>
      </c>
      <c r="L82" s="153">
        <f t="shared" si="8"/>
        <v>15.456099999999999</v>
      </c>
      <c r="M82" s="156">
        <f t="shared" si="199"/>
        <v>1.5456099999999999E-2</v>
      </c>
      <c r="N82" s="156">
        <f t="shared" si="110"/>
        <v>0</v>
      </c>
      <c r="O82" s="156">
        <f t="shared" si="126"/>
        <v>0</v>
      </c>
      <c r="P82" s="157">
        <f t="shared" si="10"/>
        <v>0</v>
      </c>
      <c r="Q82" s="113" t="str">
        <f>IF(O82&gt;0,VLOOKUP(P82,'$ alcantarillado'!$I$5:$L$22,4,FALSE),"0")</f>
        <v>0</v>
      </c>
      <c r="R82" s="160" t="str">
        <f t="shared" si="127"/>
        <v/>
      </c>
      <c r="S82" s="146">
        <f t="shared" si="128"/>
        <v>0</v>
      </c>
      <c r="T82" s="145">
        <f>+IF(S82&gt;$B$13,VLOOKUP(P82,'$ alcantarillado'!$I$6:$N$22,5),P82)</f>
        <v>0</v>
      </c>
      <c r="U82" s="113" t="str">
        <f>IF(O82&gt;0,VLOOKUP(T82,'$ alcantarillado'!$I$5:$L$22,4),"0")</f>
        <v>0</v>
      </c>
      <c r="V82" s="113" t="str">
        <f t="shared" si="111"/>
        <v/>
      </c>
      <c r="W82" s="146">
        <f t="shared" si="129"/>
        <v>0</v>
      </c>
      <c r="X82" s="146" t="str">
        <f t="shared" si="200"/>
        <v/>
      </c>
      <c r="Y82" s="113" t="str">
        <f>IF(T82&gt;0,(VLOOKUP($W82,Relaciones!$A$4:$D$108,2)),"")</f>
        <v/>
      </c>
      <c r="Z82" s="146" t="str">
        <f t="shared" si="201"/>
        <v/>
      </c>
      <c r="AA82" s="146" t="str">
        <f t="shared" si="202"/>
        <v/>
      </c>
      <c r="AB82" s="147" t="str">
        <f t="shared" si="203"/>
        <v/>
      </c>
      <c r="AC82" s="147" t="str">
        <f t="shared" si="204"/>
        <v/>
      </c>
      <c r="AD82" s="147" t="str">
        <f t="shared" si="205"/>
        <v/>
      </c>
      <c r="AE82" s="148">
        <f t="shared" si="206"/>
        <v>0</v>
      </c>
      <c r="AF82" s="148">
        <f t="shared" si="207"/>
        <v>0</v>
      </c>
      <c r="AG82" s="148">
        <f t="shared" si="208"/>
        <v>0</v>
      </c>
      <c r="AH82" s="148">
        <f t="shared" si="209"/>
        <v>0</v>
      </c>
      <c r="AI82" s="147">
        <f t="shared" si="210"/>
        <v>0</v>
      </c>
      <c r="AJ82" s="158">
        <f>IF(AI82&gt;0,I82*VLOOKUP(T82,'$ alcantarillado'!$I$6:$K$22,3),0)</f>
        <v>0</v>
      </c>
      <c r="AK82" s="149">
        <f t="shared" si="178"/>
        <v>0</v>
      </c>
      <c r="AL82" s="149">
        <f t="shared" si="179"/>
        <v>0</v>
      </c>
      <c r="AM82" s="158">
        <f t="shared" si="21"/>
        <v>0</v>
      </c>
      <c r="AN82" s="181">
        <f>IF(AP68&gt;0,IF(AP196&gt;0,AP68+AP196,0),0)</f>
        <v>24255984.58366669</v>
      </c>
      <c r="AO82" s="159" t="str">
        <f t="shared" si="106"/>
        <v/>
      </c>
      <c r="AP82" s="220"/>
      <c r="AQ82" s="154"/>
      <c r="AR82" s="166"/>
    </row>
    <row r="83" spans="1:44" x14ac:dyDescent="0.25">
      <c r="A83" s="230"/>
      <c r="B83" s="230"/>
      <c r="C83" s="230"/>
      <c r="D83" s="230"/>
      <c r="E83" s="127">
        <v>1</v>
      </c>
      <c r="F83" s="176">
        <f>IF(H50&lt;H178,H50,H178)</f>
        <v>47.39</v>
      </c>
      <c r="G83" s="127">
        <v>3</v>
      </c>
      <c r="H83" s="132">
        <f>+H78-$B$4</f>
        <v>46.39</v>
      </c>
      <c r="I83" s="129">
        <f t="shared" ref="I83" si="216">+I82</f>
        <v>80</v>
      </c>
      <c r="J83" s="143">
        <f>+(F83-H83)/I83</f>
        <v>1.2500000000000001E-2</v>
      </c>
      <c r="K83" s="129">
        <f t="shared" ref="K83" si="217">+K82</f>
        <v>1264</v>
      </c>
      <c r="L83" s="132">
        <f>IF(K83&lt;38,K83^0.3686*0.7401,IF(K83&lt;235,K83^0.4193*0.6215,IF(K83&lt;932,K83*0.0092+4.2493,K83*0.0069+6.7345)))</f>
        <v>15.456099999999999</v>
      </c>
      <c r="M83" s="133">
        <f>+L83/1000</f>
        <v>1.5456099999999999E-2</v>
      </c>
      <c r="N83" s="133">
        <f t="shared" si="110"/>
        <v>0.13109862432799763</v>
      </c>
      <c r="O83" s="133">
        <f t="shared" si="126"/>
        <v>5.1613631625195922</v>
      </c>
      <c r="P83" s="134">
        <f t="shared" si="10"/>
        <v>6</v>
      </c>
      <c r="Q83" s="135">
        <f>IF(O83&gt;0,VLOOKUP(P83,'$ alcantarillado'!$I$5:$L$22,4,FALSE),"0")</f>
        <v>0.14499999999999999</v>
      </c>
      <c r="R83" s="135">
        <f t="shared" si="127"/>
        <v>2.0221788616147186E-2</v>
      </c>
      <c r="S83" s="136">
        <f t="shared" si="128"/>
        <v>0.76432902615044818</v>
      </c>
      <c r="T83" s="134">
        <f>+IF(S83&gt;$B$13,VLOOKUP(P83,'$ alcantarillado'!$I$6:$N$22,5),P83)</f>
        <v>6</v>
      </c>
      <c r="U83" s="135">
        <f>IF(O83&gt;0,VLOOKUP(T83,'$ alcantarillado'!$I$5:$L$22,4),"0")</f>
        <v>0.14499999999999999</v>
      </c>
      <c r="V83" s="135">
        <f t="shared" si="111"/>
        <v>2.0221788616147186E-2</v>
      </c>
      <c r="W83" s="136">
        <f t="shared" si="129"/>
        <v>0.76432902615044818</v>
      </c>
      <c r="X83" s="136">
        <f>IF(T83&gt;0,4*V83/(PI()*(U83)^2),"")</f>
        <v>1.2245983796125537</v>
      </c>
      <c r="Y83" s="135">
        <f>IF(T83&gt;0,(VLOOKUP($W83,Relaciones!$A$4:$D$108,2)),"")</f>
        <v>0.96899999999999997</v>
      </c>
      <c r="Z83" s="136">
        <f>IF(T83&gt;0,Y83*X83,"")</f>
        <v>1.1866358298445645</v>
      </c>
      <c r="AA83" s="136">
        <f>IF(T83&gt;0,250*U83*J83,"")</f>
        <v>0.453125</v>
      </c>
      <c r="AB83" s="137" t="str">
        <f>IF(T83&gt;0,IF(W83&lt;=$B$13,"OK","No Cumple"),"")</f>
        <v>OK</v>
      </c>
      <c r="AC83" s="137" t="str">
        <f>IF(T83&gt;0,IF(Z83&gt;=$B$12,"OK","No Cumple"),"")</f>
        <v>OK</v>
      </c>
      <c r="AD83" s="137" t="str">
        <f>IF(T83&gt;0,IF(AA83&gt;$B$14,"OK","No Cumple"),"")</f>
        <v>OK</v>
      </c>
      <c r="AE83" s="138">
        <f>+IF(AB83="OK",1,0)</f>
        <v>1</v>
      </c>
      <c r="AF83" s="138">
        <f>+IF(AC83="OK",1,0)</f>
        <v>1</v>
      </c>
      <c r="AG83" s="138">
        <f>+IF(AD83="OK",1,0)</f>
        <v>1</v>
      </c>
      <c r="AH83" s="138">
        <f>SUM(AE83:AG83)</f>
        <v>3</v>
      </c>
      <c r="AI83" s="137">
        <f>IF(AH83=3,2*$B$7+U83,0)</f>
        <v>0.64500000000000002</v>
      </c>
      <c r="AJ83" s="139">
        <f>IF(AI83&gt;0,I83*VLOOKUP(T83,'$ alcantarillado'!$I$6:$K$22,3),0)</f>
        <v>1912173.3333333335</v>
      </c>
      <c r="AK83" s="139">
        <f t="shared" si="178"/>
        <v>3034854.0000000042</v>
      </c>
      <c r="AL83" s="139">
        <f t="shared" si="179"/>
        <v>1287774.9450000019</v>
      </c>
      <c r="AM83" s="139">
        <f>IF(AJ83&gt;0,AJ83+AK83+AL83,0)</f>
        <v>6234802.2783333398</v>
      </c>
      <c r="AN83" s="180">
        <f>IF(AP48&gt;0,IF(AP176&gt;0,AP48+AP176,0),0)</f>
        <v>0</v>
      </c>
      <c r="AO83" s="140" t="str">
        <f>IF((AM83)&gt;0,IF(AN83&gt;0,AM83+AN83,""),"")</f>
        <v/>
      </c>
      <c r="AP83" s="225">
        <f>+MIN(AO83:AO87)</f>
        <v>31917970.302666694</v>
      </c>
      <c r="AQ83" s="129"/>
      <c r="AR83" s="163"/>
    </row>
    <row r="84" spans="1:44" x14ac:dyDescent="0.25">
      <c r="A84" s="230"/>
      <c r="B84" s="230"/>
      <c r="C84" s="230"/>
      <c r="D84" s="230"/>
      <c r="E84" s="141">
        <v>2</v>
      </c>
      <c r="F84" s="177">
        <f>IF(H55&lt;H183,H55,H183)</f>
        <v>46.89</v>
      </c>
      <c r="G84" s="141">
        <v>3</v>
      </c>
      <c r="H84" s="128">
        <f>+H83</f>
        <v>46.39</v>
      </c>
      <c r="I84" s="142">
        <f>+I83</f>
        <v>80</v>
      </c>
      <c r="J84" s="143">
        <f t="shared" si="7"/>
        <v>6.2500000000000003E-3</v>
      </c>
      <c r="K84" s="142">
        <f>+K83</f>
        <v>1264</v>
      </c>
      <c r="L84" s="128">
        <f t="shared" si="8"/>
        <v>15.456099999999999</v>
      </c>
      <c r="M84" s="144">
        <f t="shared" ref="M84:M87" si="218">+L84/1000</f>
        <v>1.5456099999999999E-2</v>
      </c>
      <c r="N84" s="144">
        <f t="shared" si="110"/>
        <v>0.14929362341696081</v>
      </c>
      <c r="O84" s="144">
        <f t="shared" si="126"/>
        <v>5.8777017093291661</v>
      </c>
      <c r="P84" s="145">
        <f t="shared" si="10"/>
        <v>6</v>
      </c>
      <c r="Q84" s="113">
        <f>IF(O84&gt;0,VLOOKUP(P84,'$ alcantarillado'!$I$5:$L$22,4,FALSE),"0")</f>
        <v>0.14499999999999999</v>
      </c>
      <c r="R84" s="113">
        <f t="shared" si="127"/>
        <v>1.4298963858198607E-2</v>
      </c>
      <c r="S84" s="146">
        <f t="shared" si="128"/>
        <v>1.0809244748973839</v>
      </c>
      <c r="T84" s="145">
        <f>+IF(S84&gt;$B$13,VLOOKUP(P84,'$ alcantarillado'!$I$6:$N$22,5),P84)</f>
        <v>8</v>
      </c>
      <c r="U84" s="113">
        <f>IF(O84&gt;0,VLOOKUP(T84,'$ alcantarillado'!$I$5:$L$22,4),"0")</f>
        <v>0.182</v>
      </c>
      <c r="V84" s="113">
        <f t="shared" si="111"/>
        <v>2.6212811057560712E-2</v>
      </c>
      <c r="W84" s="146">
        <f t="shared" si="129"/>
        <v>0.58963916407362604</v>
      </c>
      <c r="X84" s="146">
        <f t="shared" ref="X84:X87" si="219">IF(T84&gt;0,4*V84/(PI()*(U84)^2),"")</f>
        <v>1.0075832513330949</v>
      </c>
      <c r="Y84" s="113">
        <f>IF(T84&gt;0,(VLOOKUP($W84,Relaciones!$A$4:$D$108,2)),"")</f>
        <v>0.89</v>
      </c>
      <c r="Z84" s="146">
        <f t="shared" ref="Z84:Z87" si="220">IF(T84&gt;0,Y84*X84,"")</f>
        <v>0.8967490936864545</v>
      </c>
      <c r="AA84" s="146">
        <f t="shared" ref="AA84:AA87" si="221">IF(T84&gt;0,250*U84*J84,"")</f>
        <v>0.28437499999999999</v>
      </c>
      <c r="AB84" s="147" t="str">
        <f t="shared" ref="AB84:AB87" si="222">IF(T84&gt;0,IF(W84&lt;=$B$13,"OK","No Cumple"),"")</f>
        <v>OK</v>
      </c>
      <c r="AC84" s="147" t="str">
        <f t="shared" ref="AC84:AC87" si="223">IF(T84&gt;0,IF(Z84&gt;=$B$12,"OK","No Cumple"),"")</f>
        <v>OK</v>
      </c>
      <c r="AD84" s="147" t="str">
        <f t="shared" ref="AD84:AD87" si="224">IF(T84&gt;0,IF(AA84&gt;$B$14,"OK","No Cumple"),"")</f>
        <v>OK</v>
      </c>
      <c r="AE84" s="148">
        <f t="shared" ref="AE84:AE87" si="225">+IF(AB84="OK",1,0)</f>
        <v>1</v>
      </c>
      <c r="AF84" s="148">
        <f t="shared" ref="AF84:AF87" si="226">+IF(AC84="OK",1,0)</f>
        <v>1</v>
      </c>
      <c r="AG84" s="148">
        <f t="shared" ref="AG84:AG87" si="227">+IF(AD84="OK",1,0)</f>
        <v>1</v>
      </c>
      <c r="AH84" s="148">
        <f t="shared" ref="AH84:AH87" si="228">SUM(AE84:AG84)</f>
        <v>3</v>
      </c>
      <c r="AI84" s="147">
        <f t="shared" ref="AI84:AI87" si="229">IF(AH84=3,2*$B$7+U84,0)</f>
        <v>0.68199999999999994</v>
      </c>
      <c r="AJ84" s="149">
        <f>IF(AI84&gt;0,I84*VLOOKUP(T84,'$ alcantarillado'!$I$6:$K$22,3),0)</f>
        <v>2654586.666666667</v>
      </c>
      <c r="AK84" s="149">
        <f t="shared" si="178"/>
        <v>3754491.8400000036</v>
      </c>
      <c r="AL84" s="149">
        <f t="shared" si="179"/>
        <v>1662590.7420000019</v>
      </c>
      <c r="AM84" s="149">
        <f t="shared" si="21"/>
        <v>8071669.248666672</v>
      </c>
      <c r="AN84" s="180">
        <f>IF(AP53&gt;0,IF(AP181&gt;0,AP53+AP181,0),0)</f>
        <v>23846301.054000024</v>
      </c>
      <c r="AO84" s="161">
        <f t="shared" si="106"/>
        <v>31917970.302666694</v>
      </c>
      <c r="AP84" s="226"/>
      <c r="AQ84" s="142"/>
      <c r="AR84" s="165"/>
    </row>
    <row r="85" spans="1:44" x14ac:dyDescent="0.25">
      <c r="A85" s="230"/>
      <c r="B85" s="230"/>
      <c r="C85" s="230"/>
      <c r="D85" s="230"/>
      <c r="E85" s="151">
        <v>3</v>
      </c>
      <c r="F85" s="177">
        <f>IF(H60&lt;H188,H60,H188)</f>
        <v>46.39</v>
      </c>
      <c r="G85" s="151">
        <v>3</v>
      </c>
      <c r="H85" s="128">
        <f t="shared" ref="H85" si="230">+H84</f>
        <v>46.39</v>
      </c>
      <c r="I85" s="142">
        <f t="shared" ref="I85" si="231">+I84</f>
        <v>80</v>
      </c>
      <c r="J85" s="143">
        <f t="shared" si="7"/>
        <v>0</v>
      </c>
      <c r="K85" s="142">
        <f t="shared" ref="K85:K86" si="232">+K84</f>
        <v>1264</v>
      </c>
      <c r="L85" s="128">
        <f t="shared" si="8"/>
        <v>15.456099999999999</v>
      </c>
      <c r="M85" s="144">
        <f t="shared" si="218"/>
        <v>1.5456099999999999E-2</v>
      </c>
      <c r="N85" s="144">
        <f t="shared" si="110"/>
        <v>0</v>
      </c>
      <c r="O85" s="144">
        <f t="shared" si="126"/>
        <v>0</v>
      </c>
      <c r="P85" s="145">
        <f t="shared" si="10"/>
        <v>0</v>
      </c>
      <c r="Q85" s="113" t="str">
        <f>IF(O85&gt;0,VLOOKUP(P85,'$ alcantarillado'!$I$5:$L$22,4,FALSE),"0")</f>
        <v>0</v>
      </c>
      <c r="R85" s="113" t="str">
        <f t="shared" si="127"/>
        <v/>
      </c>
      <c r="S85" s="146">
        <f t="shared" si="128"/>
        <v>0</v>
      </c>
      <c r="T85" s="145">
        <f>+IF(S85&gt;$B$13,VLOOKUP(P85,'$ alcantarillado'!$I$6:$N$22,5),P85)</f>
        <v>0</v>
      </c>
      <c r="U85" s="113" t="str">
        <f>IF(O85&gt;0,VLOOKUP(T85,'$ alcantarillado'!$I$5:$L$22,4),"0")</f>
        <v>0</v>
      </c>
      <c r="V85" s="113" t="str">
        <f t="shared" si="111"/>
        <v/>
      </c>
      <c r="W85" s="146">
        <f t="shared" si="129"/>
        <v>0</v>
      </c>
      <c r="X85" s="146" t="str">
        <f t="shared" si="219"/>
        <v/>
      </c>
      <c r="Y85" s="113" t="str">
        <f>IF(T85&gt;0,(VLOOKUP($W85,Relaciones!$A$4:$D$108,2)),"")</f>
        <v/>
      </c>
      <c r="Z85" s="146" t="str">
        <f t="shared" si="220"/>
        <v/>
      </c>
      <c r="AA85" s="146" t="str">
        <f t="shared" si="221"/>
        <v/>
      </c>
      <c r="AB85" s="147" t="str">
        <f t="shared" si="222"/>
        <v/>
      </c>
      <c r="AC85" s="147" t="str">
        <f t="shared" si="223"/>
        <v/>
      </c>
      <c r="AD85" s="147" t="str">
        <f t="shared" si="224"/>
        <v/>
      </c>
      <c r="AE85" s="148">
        <f t="shared" si="225"/>
        <v>0</v>
      </c>
      <c r="AF85" s="148">
        <f t="shared" si="226"/>
        <v>0</v>
      </c>
      <c r="AG85" s="148">
        <f t="shared" si="227"/>
        <v>0</v>
      </c>
      <c r="AH85" s="148">
        <f t="shared" si="228"/>
        <v>0</v>
      </c>
      <c r="AI85" s="147">
        <f t="shared" si="229"/>
        <v>0</v>
      </c>
      <c r="AJ85" s="149">
        <f>IF(AI85&gt;0,I85*VLOOKUP(T85,'$ alcantarillado'!$I$6:$K$22,3),0)</f>
        <v>0</v>
      </c>
      <c r="AK85" s="149">
        <f t="shared" si="178"/>
        <v>0</v>
      </c>
      <c r="AL85" s="149">
        <f t="shared" si="179"/>
        <v>0</v>
      </c>
      <c r="AM85" s="149">
        <f t="shared" si="21"/>
        <v>0</v>
      </c>
      <c r="AN85" s="180">
        <f>IF(AP58&gt;0,IF(AP186&gt;0,AP58+AP186,0),0)</f>
        <v>23327184.58366669</v>
      </c>
      <c r="AO85" s="150" t="str">
        <f t="shared" si="106"/>
        <v/>
      </c>
      <c r="AP85" s="227"/>
      <c r="AQ85" s="142">
        <v>2</v>
      </c>
      <c r="AR85" s="165">
        <v>3</v>
      </c>
    </row>
    <row r="86" spans="1:44" x14ac:dyDescent="0.25">
      <c r="A86" s="230"/>
      <c r="B86" s="230"/>
      <c r="C86" s="230"/>
      <c r="D86" s="230"/>
      <c r="E86" s="151">
        <v>4</v>
      </c>
      <c r="F86" s="177">
        <f>IF(H65&lt;H193,H65,H193)</f>
        <v>45.89</v>
      </c>
      <c r="G86" s="151">
        <v>3</v>
      </c>
      <c r="H86" s="128">
        <f t="shared" ref="H86" si="233">+H85</f>
        <v>46.39</v>
      </c>
      <c r="I86" s="142">
        <f t="shared" ref="I86" si="234">+I85</f>
        <v>80</v>
      </c>
      <c r="J86" s="143">
        <f>+(F86-H86)/I86</f>
        <v>-6.2500000000000003E-3</v>
      </c>
      <c r="K86" s="142">
        <f t="shared" si="232"/>
        <v>1264</v>
      </c>
      <c r="L86" s="128">
        <f t="shared" si="8"/>
        <v>15.456099999999999</v>
      </c>
      <c r="M86" s="144">
        <f t="shared" si="218"/>
        <v>1.5456099999999999E-2</v>
      </c>
      <c r="N86" s="144">
        <f t="shared" si="110"/>
        <v>0</v>
      </c>
      <c r="O86" s="144">
        <f t="shared" si="126"/>
        <v>0</v>
      </c>
      <c r="P86" s="145">
        <f t="shared" si="10"/>
        <v>0</v>
      </c>
      <c r="Q86" s="113" t="str">
        <f>IF(O86&gt;0,VLOOKUP(P86,'$ alcantarillado'!$I$5:$L$22,4,FALSE),"0")</f>
        <v>0</v>
      </c>
      <c r="R86" s="113" t="str">
        <f t="shared" si="127"/>
        <v/>
      </c>
      <c r="S86" s="146">
        <f t="shared" si="128"/>
        <v>0</v>
      </c>
      <c r="T86" s="145">
        <f>+IF(S86&gt;$B$13,VLOOKUP(P86,'$ alcantarillado'!$I$6:$N$22,5),P86)</f>
        <v>0</v>
      </c>
      <c r="U86" s="113" t="str">
        <f>IF(O86&gt;0,VLOOKUP(T86,'$ alcantarillado'!$I$5:$L$22,4),"0")</f>
        <v>0</v>
      </c>
      <c r="V86" s="113" t="str">
        <f t="shared" si="111"/>
        <v/>
      </c>
      <c r="W86" s="146">
        <f t="shared" si="129"/>
        <v>0</v>
      </c>
      <c r="X86" s="146" t="str">
        <f t="shared" si="219"/>
        <v/>
      </c>
      <c r="Y86" s="113" t="str">
        <f>IF(T86&gt;0,(VLOOKUP($W86,Relaciones!$A$4:$D$108,2)),"")</f>
        <v/>
      </c>
      <c r="Z86" s="146" t="str">
        <f t="shared" si="220"/>
        <v/>
      </c>
      <c r="AA86" s="146" t="str">
        <f t="shared" si="221"/>
        <v/>
      </c>
      <c r="AB86" s="147" t="str">
        <f t="shared" si="222"/>
        <v/>
      </c>
      <c r="AC86" s="147" t="str">
        <f t="shared" si="223"/>
        <v/>
      </c>
      <c r="AD86" s="147" t="str">
        <f t="shared" si="224"/>
        <v/>
      </c>
      <c r="AE86" s="148">
        <f t="shared" si="225"/>
        <v>0</v>
      </c>
      <c r="AF86" s="148">
        <f t="shared" si="226"/>
        <v>0</v>
      </c>
      <c r="AG86" s="148">
        <f t="shared" si="227"/>
        <v>0</v>
      </c>
      <c r="AH86" s="148">
        <f t="shared" si="228"/>
        <v>0</v>
      </c>
      <c r="AI86" s="147">
        <f t="shared" si="229"/>
        <v>0</v>
      </c>
      <c r="AJ86" s="149">
        <f>IF(AI86&gt;0,I86*VLOOKUP(T86,'$ alcantarillado'!$I$6:$K$22,3),0)</f>
        <v>0</v>
      </c>
      <c r="AK86" s="149">
        <f t="shared" si="178"/>
        <v>0</v>
      </c>
      <c r="AL86" s="149">
        <f t="shared" si="179"/>
        <v>0</v>
      </c>
      <c r="AM86" s="149">
        <f t="shared" si="21"/>
        <v>0</v>
      </c>
      <c r="AN86" s="180">
        <f>IF(AP63&gt;0,IF(AP191&gt;0,AP63+AP191,0),0)</f>
        <v>23791584.58366669</v>
      </c>
      <c r="AO86" s="150" t="str">
        <f t="shared" si="106"/>
        <v/>
      </c>
      <c r="AP86" s="227"/>
      <c r="AQ86" s="142"/>
      <c r="AR86" s="165"/>
    </row>
    <row r="87" spans="1:44" ht="15.75" thickBot="1" x14ac:dyDescent="0.3">
      <c r="A87" s="230"/>
      <c r="B87" s="230"/>
      <c r="C87" s="230"/>
      <c r="D87" s="230"/>
      <c r="E87" s="152">
        <v>5</v>
      </c>
      <c r="F87" s="178">
        <f>IF(H70&lt;H193,H70,H193)</f>
        <v>45.39</v>
      </c>
      <c r="G87" s="152">
        <v>3</v>
      </c>
      <c r="H87" s="153">
        <f>+H86</f>
        <v>46.39</v>
      </c>
      <c r="I87" s="154">
        <f>+I86</f>
        <v>80</v>
      </c>
      <c r="J87" s="155">
        <f t="shared" si="7"/>
        <v>-1.2500000000000001E-2</v>
      </c>
      <c r="K87" s="154">
        <f>+K86</f>
        <v>1264</v>
      </c>
      <c r="L87" s="153">
        <f t="shared" si="8"/>
        <v>15.456099999999999</v>
      </c>
      <c r="M87" s="156">
        <f t="shared" si="218"/>
        <v>1.5456099999999999E-2</v>
      </c>
      <c r="N87" s="156">
        <f t="shared" si="110"/>
        <v>0</v>
      </c>
      <c r="O87" s="156">
        <f t="shared" ref="O87:O118" si="235">+N87*(100/2.54)</f>
        <v>0</v>
      </c>
      <c r="P87" s="157">
        <f t="shared" ref="P87:P147" si="236">IF(O87&lt;0.1,0,IF(O87&lt;4,6,EVEN(O87)))</f>
        <v>0</v>
      </c>
      <c r="Q87" s="113" t="str">
        <f>IF(O87&gt;0,VLOOKUP(P87,'$ alcantarillado'!$I$5:$L$22,4,FALSE),"0")</f>
        <v>0</v>
      </c>
      <c r="R87" s="160" t="str">
        <f t="shared" ref="R87:R118" si="237">IF(P87&gt;0,PI()*((Q87)^(8/3))*((J87)^0.5)/($B$2*4^(5/3)),"")</f>
        <v/>
      </c>
      <c r="S87" s="146">
        <f t="shared" ref="S87:S118" si="238">IF(P87&gt;0,+M87/R87,0)</f>
        <v>0</v>
      </c>
      <c r="T87" s="145">
        <f>+IF(S87&gt;$B$13,VLOOKUP(P87,'$ alcantarillado'!$I$6:$N$22,5),P87)</f>
        <v>0</v>
      </c>
      <c r="U87" s="113" t="str">
        <f>IF(O87&gt;0,VLOOKUP(T87,'$ alcantarillado'!$I$5:$L$22,4),"0")</f>
        <v>0</v>
      </c>
      <c r="V87" s="113" t="str">
        <f t="shared" si="111"/>
        <v/>
      </c>
      <c r="W87" s="146">
        <f t="shared" ref="W87:W118" si="239">IF(T87&gt;0,M87/V87,0)</f>
        <v>0</v>
      </c>
      <c r="X87" s="146" t="str">
        <f t="shared" si="219"/>
        <v/>
      </c>
      <c r="Y87" s="113" t="str">
        <f>IF(T87&gt;0,(VLOOKUP($W87,Relaciones!$A$4:$D$108,2)),"")</f>
        <v/>
      </c>
      <c r="Z87" s="146" t="str">
        <f t="shared" si="220"/>
        <v/>
      </c>
      <c r="AA87" s="146" t="str">
        <f t="shared" si="221"/>
        <v/>
      </c>
      <c r="AB87" s="147" t="str">
        <f t="shared" si="222"/>
        <v/>
      </c>
      <c r="AC87" s="147" t="str">
        <f t="shared" si="223"/>
        <v/>
      </c>
      <c r="AD87" s="147" t="str">
        <f t="shared" si="224"/>
        <v/>
      </c>
      <c r="AE87" s="148">
        <f t="shared" si="225"/>
        <v>0</v>
      </c>
      <c r="AF87" s="148">
        <f t="shared" si="226"/>
        <v>0</v>
      </c>
      <c r="AG87" s="148">
        <f t="shared" si="227"/>
        <v>0</v>
      </c>
      <c r="AH87" s="148">
        <f t="shared" si="228"/>
        <v>0</v>
      </c>
      <c r="AI87" s="147">
        <f t="shared" si="229"/>
        <v>0</v>
      </c>
      <c r="AJ87" s="158">
        <f>IF(AI87&gt;0,I87*VLOOKUP(T87,'$ alcantarillado'!$I$6:$K$22,3),0)</f>
        <v>0</v>
      </c>
      <c r="AK87" s="149">
        <f t="shared" si="178"/>
        <v>0</v>
      </c>
      <c r="AL87" s="149">
        <f t="shared" si="179"/>
        <v>0</v>
      </c>
      <c r="AM87" s="158">
        <f t="shared" si="21"/>
        <v>0</v>
      </c>
      <c r="AN87" s="180">
        <f>IF(AP68&gt;0,IF(AP196&gt;0,AP68+AP196,0),0)</f>
        <v>24255984.58366669</v>
      </c>
      <c r="AO87" s="159" t="str">
        <f t="shared" si="106"/>
        <v/>
      </c>
      <c r="AP87" s="228"/>
      <c r="AQ87" s="154"/>
      <c r="AR87" s="166"/>
    </row>
    <row r="88" spans="1:44" x14ac:dyDescent="0.25">
      <c r="A88" s="230"/>
      <c r="B88" s="230"/>
      <c r="C88" s="230"/>
      <c r="D88" s="230"/>
      <c r="E88" s="127">
        <v>1</v>
      </c>
      <c r="F88" s="176">
        <f>IF(H52&lt;H176,H52,H176)</f>
        <v>47.39</v>
      </c>
      <c r="G88" s="127">
        <v>4</v>
      </c>
      <c r="H88" s="132">
        <f>+H83-$B$4</f>
        <v>45.89</v>
      </c>
      <c r="I88" s="142">
        <f>+I83</f>
        <v>80</v>
      </c>
      <c r="J88" s="143">
        <f>+(F88-H88)/I88</f>
        <v>1.8749999999999999E-2</v>
      </c>
      <c r="K88" s="142">
        <f>+K83</f>
        <v>1264</v>
      </c>
      <c r="L88" s="132">
        <f>IF(K88&lt;38,K88^0.3686*0.7401,IF(K88&lt;235,K88^0.4193*0.6215,IF(K88&lt;932,K88*0.0092+4.2493,K88*0.0069+6.7345)))</f>
        <v>15.456099999999999</v>
      </c>
      <c r="M88" s="133">
        <f>+L88/1000</f>
        <v>1.5456099999999999E-2</v>
      </c>
      <c r="N88" s="133">
        <f t="shared" si="110"/>
        <v>0.12150132762084963</v>
      </c>
      <c r="O88" s="133">
        <f t="shared" si="235"/>
        <v>4.7835168354665205</v>
      </c>
      <c r="P88" s="134">
        <f t="shared" si="236"/>
        <v>6</v>
      </c>
      <c r="Q88" s="135">
        <f>IF(O88&gt;0,VLOOKUP(P88,'$ alcantarillado'!$I$5:$L$22,4,FALSE),"0")</f>
        <v>0.14499999999999999</v>
      </c>
      <c r="R88" s="135">
        <f t="shared" si="237"/>
        <v>2.4766531897991089E-2</v>
      </c>
      <c r="S88" s="136">
        <f t="shared" si="238"/>
        <v>0.62407203655565935</v>
      </c>
      <c r="T88" s="134">
        <f>+IF(S88&gt;$B$13,VLOOKUP(P88,'$ alcantarillado'!$I$6:$N$22,5),P88)</f>
        <v>6</v>
      </c>
      <c r="U88" s="135">
        <f>IF(O88&gt;0,VLOOKUP(T88,'$ alcantarillado'!$I$5:$L$22,4),"0")</f>
        <v>0.14499999999999999</v>
      </c>
      <c r="V88" s="135">
        <f t="shared" si="111"/>
        <v>2.4766531897991089E-2</v>
      </c>
      <c r="W88" s="136">
        <f t="shared" si="239"/>
        <v>0.62407203655565935</v>
      </c>
      <c r="X88" s="136">
        <f>IF(T88&gt;0,4*V88/(PI()*(U88)^2),"")</f>
        <v>1.4998205849449258</v>
      </c>
      <c r="Y88" s="135">
        <f>IF(T88&gt;0,(VLOOKUP($W88,Relaciones!$A$4:$D$108,2)),"")</f>
        <v>0.90800000000000003</v>
      </c>
      <c r="Z88" s="136">
        <f>IF(T88&gt;0,Y88*X88,"")</f>
        <v>1.3618370911299926</v>
      </c>
      <c r="AA88" s="136">
        <f>IF(T88&gt;0,250*U88*J88,"")</f>
        <v>0.6796875</v>
      </c>
      <c r="AB88" s="137" t="str">
        <f>IF(T88&gt;0,IF(W88&lt;=$B$13,"OK","No Cumple"),"")</f>
        <v>OK</v>
      </c>
      <c r="AC88" s="137" t="str">
        <f>IF(T88&gt;0,IF(Z88&gt;=$B$12,"OK","No Cumple"),"")</f>
        <v>OK</v>
      </c>
      <c r="AD88" s="137" t="str">
        <f>IF(T88&gt;0,IF(AA88&gt;$B$14,"OK","No Cumple"),"")</f>
        <v>OK</v>
      </c>
      <c r="AE88" s="138">
        <f>+IF(AB88="OK",1,0)</f>
        <v>1</v>
      </c>
      <c r="AF88" s="138">
        <f>+IF(AC88="OK",1,0)</f>
        <v>1</v>
      </c>
      <c r="AG88" s="138">
        <f>+IF(AD88="OK",1,0)</f>
        <v>1</v>
      </c>
      <c r="AH88" s="138">
        <f>SUM(AE88:AG88)</f>
        <v>3</v>
      </c>
      <c r="AI88" s="137">
        <f>IF(AH88=3,2*$B$7+U88,0)</f>
        <v>0.64500000000000002</v>
      </c>
      <c r="AJ88" s="139">
        <f>IF(AI88&gt;0,I88*VLOOKUP(T88,'$ alcantarillado'!$I$6:$K$22,3),0)</f>
        <v>1912173.3333333335</v>
      </c>
      <c r="AK88" s="139">
        <f t="shared" si="178"/>
        <v>3267054.0000000037</v>
      </c>
      <c r="AL88" s="139">
        <f t="shared" si="179"/>
        <v>1287774.9450000019</v>
      </c>
      <c r="AM88" s="139">
        <f>IF(AJ88&gt;0,AJ88+AK88+AL88,0)</f>
        <v>6467002.2783333398</v>
      </c>
      <c r="AN88" s="179">
        <f>IF(AP48&gt;0,IF(AP176&gt;0,AP48+AP176,0),0)</f>
        <v>0</v>
      </c>
      <c r="AO88" s="140" t="str">
        <f>IF((AM88)&gt;0,IF(AN88&gt;0,AM88+AN88,""),"")</f>
        <v/>
      </c>
      <c r="AP88" s="217">
        <f>+MIN(AO88:AO92)</f>
        <v>31126693.832333364</v>
      </c>
      <c r="AQ88" s="129"/>
      <c r="AR88" s="163"/>
    </row>
    <row r="89" spans="1:44" x14ac:dyDescent="0.25">
      <c r="A89" s="230"/>
      <c r="B89" s="230"/>
      <c r="C89" s="230"/>
      <c r="D89" s="230"/>
      <c r="E89" s="141">
        <v>2</v>
      </c>
      <c r="F89" s="177">
        <f>IF(H55&lt;H181,H55,H181)</f>
        <v>46.89</v>
      </c>
      <c r="G89" s="141">
        <v>4</v>
      </c>
      <c r="H89" s="128">
        <f>+H88</f>
        <v>45.89</v>
      </c>
      <c r="I89" s="142">
        <f>+I88</f>
        <v>80</v>
      </c>
      <c r="J89" s="143">
        <f t="shared" ref="J89:J97" si="240">+(F89-H89)/I89</f>
        <v>1.2500000000000001E-2</v>
      </c>
      <c r="K89" s="142">
        <f>+K88</f>
        <v>1264</v>
      </c>
      <c r="L89" s="128">
        <f t="shared" ref="L89:L97" si="241">IF(K89&lt;38,K89^0.3686*0.7401,IF(K89&lt;235,K89^0.4193*0.6215,IF(K89&lt;932,K89*0.0092+4.2493,K89*0.0069+6.7345)))</f>
        <v>15.456099999999999</v>
      </c>
      <c r="M89" s="144">
        <f t="shared" ref="M89:M92" si="242">+L89/1000</f>
        <v>1.5456099999999999E-2</v>
      </c>
      <c r="N89" s="144">
        <f t="shared" si="110"/>
        <v>0.13109862432799763</v>
      </c>
      <c r="O89" s="144">
        <f t="shared" si="235"/>
        <v>5.1613631625195922</v>
      </c>
      <c r="P89" s="145">
        <f t="shared" si="236"/>
        <v>6</v>
      </c>
      <c r="Q89" s="113">
        <f>IF(O89&gt;0,VLOOKUP(P89,'$ alcantarillado'!$I$5:$L$22,4,FALSE),"0")</f>
        <v>0.14499999999999999</v>
      </c>
      <c r="R89" s="113">
        <f t="shared" si="237"/>
        <v>2.0221788616147186E-2</v>
      </c>
      <c r="S89" s="146">
        <f t="shared" si="238"/>
        <v>0.76432902615044818</v>
      </c>
      <c r="T89" s="145">
        <f>+IF(S89&gt;$B$13,VLOOKUP(P89,'$ alcantarillado'!$I$6:$N$22,5),P89)</f>
        <v>6</v>
      </c>
      <c r="U89" s="113">
        <f>IF(O89&gt;0,VLOOKUP(T89,'$ alcantarillado'!$I$5:$L$22,4),"0")</f>
        <v>0.14499999999999999</v>
      </c>
      <c r="V89" s="113">
        <f t="shared" si="111"/>
        <v>2.0221788616147186E-2</v>
      </c>
      <c r="W89" s="146">
        <f t="shared" si="239"/>
        <v>0.76432902615044818</v>
      </c>
      <c r="X89" s="146">
        <f t="shared" ref="X89:X92" si="243">IF(T89&gt;0,4*V89/(PI()*(U89)^2),"")</f>
        <v>1.2245983796125537</v>
      </c>
      <c r="Y89" s="113">
        <f>IF(T89&gt;0,(VLOOKUP($W89,Relaciones!$A$4:$D$108,2)),"")</f>
        <v>0.96899999999999997</v>
      </c>
      <c r="Z89" s="146">
        <f t="shared" ref="Z89:Z92" si="244">IF(T89&gt;0,Y89*X89,"")</f>
        <v>1.1866358298445645</v>
      </c>
      <c r="AA89" s="146">
        <f t="shared" ref="AA89:AA92" si="245">IF(T89&gt;0,250*U89*J89,"")</f>
        <v>0.453125</v>
      </c>
      <c r="AB89" s="147" t="str">
        <f t="shared" ref="AB89:AB92" si="246">IF(T89&gt;0,IF(W89&lt;=$B$13,"OK","No Cumple"),"")</f>
        <v>OK</v>
      </c>
      <c r="AC89" s="147" t="str">
        <f t="shared" ref="AC89:AC92" si="247">IF(T89&gt;0,IF(Z89&gt;=$B$12,"OK","No Cumple"),"")</f>
        <v>OK</v>
      </c>
      <c r="AD89" s="147" t="str">
        <f t="shared" ref="AD89:AD92" si="248">IF(T89&gt;0,IF(AA89&gt;$B$14,"OK","No Cumple"),"")</f>
        <v>OK</v>
      </c>
      <c r="AE89" s="148">
        <f t="shared" ref="AE89:AE92" si="249">+IF(AB89="OK",1,0)</f>
        <v>1</v>
      </c>
      <c r="AF89" s="148">
        <f t="shared" ref="AF89:AF92" si="250">+IF(AC89="OK",1,0)</f>
        <v>1</v>
      </c>
      <c r="AG89" s="148">
        <f t="shared" ref="AG89:AG92" si="251">+IF(AD89="OK",1,0)</f>
        <v>1</v>
      </c>
      <c r="AH89" s="148">
        <f t="shared" ref="AH89:AH92" si="252">SUM(AE89:AG89)</f>
        <v>3</v>
      </c>
      <c r="AI89" s="147">
        <f t="shared" ref="AI89:AI92" si="253">IF(AH89=3,2*$B$7+U89,0)</f>
        <v>0.64500000000000002</v>
      </c>
      <c r="AJ89" s="149">
        <f>IF(AI89&gt;0,I89*VLOOKUP(T89,'$ alcantarillado'!$I$6:$K$22,3),0)</f>
        <v>1912173.3333333335</v>
      </c>
      <c r="AK89" s="149">
        <f t="shared" si="178"/>
        <v>3731454.0000000047</v>
      </c>
      <c r="AL89" s="149">
        <f t="shared" si="179"/>
        <v>1636765.4450000019</v>
      </c>
      <c r="AM89" s="149">
        <f t="shared" ref="AM89:AM97" si="254">IF(AJ89&gt;0,AJ89+AK89+AL89,0)</f>
        <v>7280392.7783333398</v>
      </c>
      <c r="AN89" s="180">
        <f>IF(AP53&gt;0,IF(AP181&gt;0,AP53+AP181,0),0)</f>
        <v>23846301.054000024</v>
      </c>
      <c r="AO89" s="150">
        <f t="shared" si="106"/>
        <v>31126693.832333364</v>
      </c>
      <c r="AP89" s="218"/>
      <c r="AQ89" s="142"/>
      <c r="AR89" s="165"/>
    </row>
    <row r="90" spans="1:44" x14ac:dyDescent="0.25">
      <c r="A90" s="230"/>
      <c r="B90" s="230"/>
      <c r="C90" s="230"/>
      <c r="D90" s="230"/>
      <c r="E90" s="151">
        <v>3</v>
      </c>
      <c r="F90" s="177">
        <f>IF(H60&lt;H187,H60,H187)</f>
        <v>46.39</v>
      </c>
      <c r="G90" s="151">
        <v>4</v>
      </c>
      <c r="H90" s="128">
        <f t="shared" ref="H90" si="255">+H89</f>
        <v>45.89</v>
      </c>
      <c r="I90" s="142">
        <f t="shared" ref="I90" si="256">+I89</f>
        <v>80</v>
      </c>
      <c r="J90" s="143">
        <f t="shared" si="240"/>
        <v>6.2500000000000003E-3</v>
      </c>
      <c r="K90" s="142">
        <f t="shared" ref="K90:K91" si="257">+K89</f>
        <v>1264</v>
      </c>
      <c r="L90" s="128">
        <f t="shared" si="241"/>
        <v>15.456099999999999</v>
      </c>
      <c r="M90" s="144">
        <f t="shared" si="242"/>
        <v>1.5456099999999999E-2</v>
      </c>
      <c r="N90" s="144">
        <f t="shared" si="110"/>
        <v>0.14929362341696081</v>
      </c>
      <c r="O90" s="144">
        <f t="shared" si="235"/>
        <v>5.8777017093291661</v>
      </c>
      <c r="P90" s="145">
        <f t="shared" si="236"/>
        <v>6</v>
      </c>
      <c r="Q90" s="113">
        <f>IF(O90&gt;0,VLOOKUP(P90,'$ alcantarillado'!$I$5:$L$22,4,FALSE),"0")</f>
        <v>0.14499999999999999</v>
      </c>
      <c r="R90" s="113">
        <f t="shared" si="237"/>
        <v>1.4298963858198607E-2</v>
      </c>
      <c r="S90" s="146">
        <f t="shared" si="238"/>
        <v>1.0809244748973839</v>
      </c>
      <c r="T90" s="145">
        <f>+IF(S90&gt;$B$13,VLOOKUP(P90,'$ alcantarillado'!$I$6:$N$22,5),P90)</f>
        <v>8</v>
      </c>
      <c r="U90" s="113">
        <f>IF(O90&gt;0,VLOOKUP(T90,'$ alcantarillado'!$I$5:$L$22,4),"0")</f>
        <v>0.182</v>
      </c>
      <c r="V90" s="113">
        <f t="shared" si="111"/>
        <v>2.6212811057560712E-2</v>
      </c>
      <c r="W90" s="146">
        <f t="shared" si="239"/>
        <v>0.58963916407362604</v>
      </c>
      <c r="X90" s="146">
        <f t="shared" si="243"/>
        <v>1.0075832513330949</v>
      </c>
      <c r="Y90" s="113">
        <f>IF(T90&gt;0,(VLOOKUP($W90,Relaciones!$A$4:$D$108,2)),"")</f>
        <v>0.89</v>
      </c>
      <c r="Z90" s="146">
        <f t="shared" si="244"/>
        <v>0.8967490936864545</v>
      </c>
      <c r="AA90" s="146">
        <f t="shared" si="245"/>
        <v>0.28437499999999999</v>
      </c>
      <c r="AB90" s="147" t="str">
        <f t="shared" si="246"/>
        <v>OK</v>
      </c>
      <c r="AC90" s="147" t="str">
        <f t="shared" si="247"/>
        <v>OK</v>
      </c>
      <c r="AD90" s="147" t="str">
        <f t="shared" si="248"/>
        <v>OK</v>
      </c>
      <c r="AE90" s="148">
        <f t="shared" si="249"/>
        <v>1</v>
      </c>
      <c r="AF90" s="148">
        <f t="shared" si="250"/>
        <v>1</v>
      </c>
      <c r="AG90" s="148">
        <f t="shared" si="251"/>
        <v>1</v>
      </c>
      <c r="AH90" s="148">
        <f t="shared" si="252"/>
        <v>3</v>
      </c>
      <c r="AI90" s="147">
        <f t="shared" si="253"/>
        <v>0.68199999999999994</v>
      </c>
      <c r="AJ90" s="149">
        <f>IF(AI90&gt;0,I90*VLOOKUP(T90,'$ alcantarillado'!$I$6:$K$22,3),0)</f>
        <v>2654586.666666667</v>
      </c>
      <c r="AK90" s="149">
        <f t="shared" si="178"/>
        <v>4491051.8400000036</v>
      </c>
      <c r="AL90" s="149">
        <f t="shared" si="179"/>
        <v>2011581.2420000019</v>
      </c>
      <c r="AM90" s="149">
        <f t="shared" si="254"/>
        <v>9157219.748666672</v>
      </c>
      <c r="AN90" s="180">
        <f>IF(AP58&gt;0,IF(AP186&gt;0,AP58+AP186,0),0)</f>
        <v>23327184.58366669</v>
      </c>
      <c r="AO90" s="150">
        <f t="shared" si="106"/>
        <v>32484404.332333364</v>
      </c>
      <c r="AP90" s="219"/>
      <c r="AQ90" s="142">
        <v>2</v>
      </c>
      <c r="AR90" s="165">
        <v>4</v>
      </c>
    </row>
    <row r="91" spans="1:44" x14ac:dyDescent="0.25">
      <c r="A91" s="230"/>
      <c r="B91" s="230"/>
      <c r="C91" s="230"/>
      <c r="D91" s="230"/>
      <c r="E91" s="151">
        <v>4</v>
      </c>
      <c r="F91" s="177">
        <f>IF(H66&lt;H192,H66,H192)</f>
        <v>45.89</v>
      </c>
      <c r="G91" s="151">
        <v>4</v>
      </c>
      <c r="H91" s="128">
        <f t="shared" ref="H91" si="258">+H90</f>
        <v>45.89</v>
      </c>
      <c r="I91" s="142">
        <f t="shared" ref="I91" si="259">+I90</f>
        <v>80</v>
      </c>
      <c r="J91" s="143">
        <f>+(F91-H91)/I91</f>
        <v>0</v>
      </c>
      <c r="K91" s="142">
        <f t="shared" si="257"/>
        <v>1264</v>
      </c>
      <c r="L91" s="128">
        <f t="shared" si="241"/>
        <v>15.456099999999999</v>
      </c>
      <c r="M91" s="144">
        <f t="shared" si="242"/>
        <v>1.5456099999999999E-2</v>
      </c>
      <c r="N91" s="144">
        <f t="shared" si="110"/>
        <v>0</v>
      </c>
      <c r="O91" s="144">
        <f t="shared" si="235"/>
        <v>0</v>
      </c>
      <c r="P91" s="145">
        <f t="shared" si="236"/>
        <v>0</v>
      </c>
      <c r="Q91" s="113" t="str">
        <f>IF(O91&gt;0,VLOOKUP(P91,'$ alcantarillado'!$I$5:$L$22,4,FALSE),"0")</f>
        <v>0</v>
      </c>
      <c r="R91" s="113" t="str">
        <f t="shared" si="237"/>
        <v/>
      </c>
      <c r="S91" s="146">
        <f t="shared" si="238"/>
        <v>0</v>
      </c>
      <c r="T91" s="145">
        <f>+IF(S91&gt;$B$13,VLOOKUP(P91,'$ alcantarillado'!$I$6:$N$22,5),P91)</f>
        <v>0</v>
      </c>
      <c r="U91" s="113" t="str">
        <f>IF(O91&gt;0,VLOOKUP(T91,'$ alcantarillado'!$I$5:$L$22,4),"0")</f>
        <v>0</v>
      </c>
      <c r="V91" s="113" t="str">
        <f t="shared" si="111"/>
        <v/>
      </c>
      <c r="W91" s="146">
        <f t="shared" si="239"/>
        <v>0</v>
      </c>
      <c r="X91" s="146" t="str">
        <f t="shared" si="243"/>
        <v/>
      </c>
      <c r="Y91" s="113" t="str">
        <f>IF(T91&gt;0,(VLOOKUP($W91,Relaciones!$A$4:$D$108,2)),"")</f>
        <v/>
      </c>
      <c r="Z91" s="146" t="str">
        <f t="shared" si="244"/>
        <v/>
      </c>
      <c r="AA91" s="146" t="str">
        <f t="shared" si="245"/>
        <v/>
      </c>
      <c r="AB91" s="147" t="str">
        <f t="shared" si="246"/>
        <v/>
      </c>
      <c r="AC91" s="147" t="str">
        <f t="shared" si="247"/>
        <v/>
      </c>
      <c r="AD91" s="147" t="str">
        <f t="shared" si="248"/>
        <v/>
      </c>
      <c r="AE91" s="148">
        <f t="shared" si="249"/>
        <v>0</v>
      </c>
      <c r="AF91" s="148">
        <f t="shared" si="250"/>
        <v>0</v>
      </c>
      <c r="AG91" s="148">
        <f t="shared" si="251"/>
        <v>0</v>
      </c>
      <c r="AH91" s="148">
        <f t="shared" si="252"/>
        <v>0</v>
      </c>
      <c r="AI91" s="147">
        <f t="shared" si="253"/>
        <v>0</v>
      </c>
      <c r="AJ91" s="149">
        <f>IF(AI91&gt;0,I91*VLOOKUP(T91,'$ alcantarillado'!$I$6:$K$22,3),0)</f>
        <v>0</v>
      </c>
      <c r="AK91" s="149">
        <f t="shared" si="178"/>
        <v>0</v>
      </c>
      <c r="AL91" s="149">
        <f t="shared" si="179"/>
        <v>0</v>
      </c>
      <c r="AM91" s="149">
        <f t="shared" si="254"/>
        <v>0</v>
      </c>
      <c r="AN91" s="180">
        <f>IF(AP63&gt;0,IF(AP191&gt;0,AP63+AP191,0),0)</f>
        <v>23791584.58366669</v>
      </c>
      <c r="AO91" s="150" t="str">
        <f t="shared" si="106"/>
        <v/>
      </c>
      <c r="AP91" s="219"/>
      <c r="AQ91" s="142"/>
      <c r="AR91" s="165"/>
    </row>
    <row r="92" spans="1:44" ht="15.75" thickBot="1" x14ac:dyDescent="0.3">
      <c r="A92" s="230"/>
      <c r="B92" s="230"/>
      <c r="C92" s="230"/>
      <c r="D92" s="230"/>
      <c r="E92" s="152">
        <v>5</v>
      </c>
      <c r="F92" s="178">
        <f>IF(H69&lt;H196,H69,H196)</f>
        <v>45.39</v>
      </c>
      <c r="G92" s="152">
        <v>4</v>
      </c>
      <c r="H92" s="153">
        <f>+H91</f>
        <v>45.89</v>
      </c>
      <c r="I92" s="154">
        <f>+I91</f>
        <v>80</v>
      </c>
      <c r="J92" s="155">
        <f t="shared" si="240"/>
        <v>-6.2500000000000003E-3</v>
      </c>
      <c r="K92" s="154">
        <f>+K91</f>
        <v>1264</v>
      </c>
      <c r="L92" s="153">
        <f t="shared" si="241"/>
        <v>15.456099999999999</v>
      </c>
      <c r="M92" s="156">
        <f t="shared" si="242"/>
        <v>1.5456099999999999E-2</v>
      </c>
      <c r="N92" s="156">
        <f t="shared" si="110"/>
        <v>0</v>
      </c>
      <c r="O92" s="156">
        <f t="shared" si="235"/>
        <v>0</v>
      </c>
      <c r="P92" s="157">
        <f t="shared" si="236"/>
        <v>0</v>
      </c>
      <c r="Q92" s="113" t="str">
        <f>IF(O92&gt;0,VLOOKUP(P92,'$ alcantarillado'!$I$5:$L$22,4,FALSE),"0")</f>
        <v>0</v>
      </c>
      <c r="R92" s="160" t="str">
        <f t="shared" si="237"/>
        <v/>
      </c>
      <c r="S92" s="146">
        <f t="shared" si="238"/>
        <v>0</v>
      </c>
      <c r="T92" s="145">
        <f>+IF(S92&gt;$B$13,VLOOKUP(P92,'$ alcantarillado'!$I$6:$N$22,5),P92)</f>
        <v>0</v>
      </c>
      <c r="U92" s="113" t="str">
        <f>IF(O92&gt;0,VLOOKUP(T92,'$ alcantarillado'!$I$5:$L$22,4),"0")</f>
        <v>0</v>
      </c>
      <c r="V92" s="113" t="str">
        <f t="shared" si="111"/>
        <v/>
      </c>
      <c r="W92" s="146">
        <f t="shared" si="239"/>
        <v>0</v>
      </c>
      <c r="X92" s="146" t="str">
        <f t="shared" si="243"/>
        <v/>
      </c>
      <c r="Y92" s="113" t="str">
        <f>IF(T92&gt;0,(VLOOKUP($W92,Relaciones!$A$4:$D$108,2)),"")</f>
        <v/>
      </c>
      <c r="Z92" s="146" t="str">
        <f t="shared" si="244"/>
        <v/>
      </c>
      <c r="AA92" s="146" t="str">
        <f t="shared" si="245"/>
        <v/>
      </c>
      <c r="AB92" s="147" t="str">
        <f t="shared" si="246"/>
        <v/>
      </c>
      <c r="AC92" s="147" t="str">
        <f t="shared" si="247"/>
        <v/>
      </c>
      <c r="AD92" s="147" t="str">
        <f t="shared" si="248"/>
        <v/>
      </c>
      <c r="AE92" s="148">
        <f t="shared" si="249"/>
        <v>0</v>
      </c>
      <c r="AF92" s="148">
        <f t="shared" si="250"/>
        <v>0</v>
      </c>
      <c r="AG92" s="148">
        <f t="shared" si="251"/>
        <v>0</v>
      </c>
      <c r="AH92" s="148">
        <f t="shared" si="252"/>
        <v>0</v>
      </c>
      <c r="AI92" s="147">
        <f t="shared" si="253"/>
        <v>0</v>
      </c>
      <c r="AJ92" s="158">
        <f>IF(AI92&gt;0,I92*VLOOKUP(T92,'$ alcantarillado'!$I$6:$K$22,3),0)</f>
        <v>0</v>
      </c>
      <c r="AK92" s="149">
        <f t="shared" si="178"/>
        <v>0</v>
      </c>
      <c r="AL92" s="149">
        <f t="shared" si="179"/>
        <v>0</v>
      </c>
      <c r="AM92" s="158">
        <f t="shared" si="254"/>
        <v>0</v>
      </c>
      <c r="AN92" s="181">
        <f>IF(AP68&gt;0,IF(AP196&gt;0,AP68+AP196,0),0)</f>
        <v>24255984.58366669</v>
      </c>
      <c r="AO92" s="159" t="str">
        <f t="shared" si="106"/>
        <v/>
      </c>
      <c r="AP92" s="220"/>
      <c r="AQ92" s="154"/>
      <c r="AR92" s="166"/>
    </row>
    <row r="93" spans="1:44" x14ac:dyDescent="0.25">
      <c r="A93" s="230"/>
      <c r="B93" s="230"/>
      <c r="C93" s="230"/>
      <c r="D93" s="230"/>
      <c r="E93" s="127">
        <v>1</v>
      </c>
      <c r="F93" s="176">
        <f>IF(H49&lt;H176,H49,H176)</f>
        <v>47.39</v>
      </c>
      <c r="G93" s="127">
        <v>5</v>
      </c>
      <c r="H93" s="132">
        <f>+H88-$B$4</f>
        <v>45.39</v>
      </c>
      <c r="I93" s="142">
        <f>+I88</f>
        <v>80</v>
      </c>
      <c r="J93" s="143">
        <f>+(F93-H93)/I93</f>
        <v>2.5000000000000001E-2</v>
      </c>
      <c r="K93" s="142">
        <f>+K88</f>
        <v>1264</v>
      </c>
      <c r="L93" s="132">
        <f>IF(K93&lt;38,K93^0.3686*0.7401,IF(K93&lt;235,K93^0.4193*0.6215,IF(K93&lt;932,K93*0.0092+4.2493,K93*0.0069+6.7345)))</f>
        <v>15.456099999999999</v>
      </c>
      <c r="M93" s="133">
        <f>+L93/1000</f>
        <v>1.5456099999999999E-2</v>
      </c>
      <c r="N93" s="133">
        <f t="shared" si="110"/>
        <v>0.11512112109900668</v>
      </c>
      <c r="O93" s="133">
        <f t="shared" si="235"/>
        <v>4.5323276023230976</v>
      </c>
      <c r="P93" s="134">
        <f t="shared" si="236"/>
        <v>6</v>
      </c>
      <c r="Q93" s="135">
        <f>IF(O93&gt;0,VLOOKUP(P93,'$ alcantarillado'!$I$5:$L$22,4,FALSE),"0")</f>
        <v>0.14499999999999999</v>
      </c>
      <c r="R93" s="135">
        <f t="shared" si="237"/>
        <v>2.8597927716397215E-2</v>
      </c>
      <c r="S93" s="136">
        <f t="shared" si="238"/>
        <v>0.54046223744869193</v>
      </c>
      <c r="T93" s="134">
        <f>+IF(S93&gt;$B$13,VLOOKUP(P93,'$ alcantarillado'!$I$6:$N$22,5),P93)</f>
        <v>6</v>
      </c>
      <c r="U93" s="135">
        <f>IF(O93&gt;0,VLOOKUP(T93,'$ alcantarillado'!$I$5:$L$22,4),"0")</f>
        <v>0.14499999999999999</v>
      </c>
      <c r="V93" s="135">
        <f t="shared" si="111"/>
        <v>2.8597927716397215E-2</v>
      </c>
      <c r="W93" s="136">
        <f t="shared" si="239"/>
        <v>0.54046223744869193</v>
      </c>
      <c r="X93" s="136">
        <f>IF(T93&gt;0,4*V93/(PI()*(U93)^2),"")</f>
        <v>1.7318436369081895</v>
      </c>
      <c r="Y93" s="135">
        <f>IF(T93&gt;0,(VLOOKUP($W93,Relaciones!$A$4:$D$108,2)),"")</f>
        <v>0.87</v>
      </c>
      <c r="Z93" s="136">
        <f>IF(T93&gt;0,Y93*X93,"")</f>
        <v>1.506703964110125</v>
      </c>
      <c r="AA93" s="136">
        <f>IF(T93&gt;0,250*U93*J93,"")</f>
        <v>0.90625</v>
      </c>
      <c r="AB93" s="137" t="str">
        <f>IF(T93&gt;0,IF(W93&lt;=$B$13,"OK","No Cumple"),"")</f>
        <v>OK</v>
      </c>
      <c r="AC93" s="137" t="str">
        <f>IF(T93&gt;0,IF(Z93&gt;=$B$12,"OK","No Cumple"),"")</f>
        <v>OK</v>
      </c>
      <c r="AD93" s="137" t="str">
        <f>IF(T93&gt;0,IF(AA93&gt;$B$14,"OK","No Cumple"),"")</f>
        <v>OK</v>
      </c>
      <c r="AE93" s="138">
        <f>+IF(AB93="OK",1,0)</f>
        <v>1</v>
      </c>
      <c r="AF93" s="138">
        <f>+IF(AC93="OK",1,0)</f>
        <v>1</v>
      </c>
      <c r="AG93" s="138">
        <f>+IF(AD93="OK",1,0)</f>
        <v>1</v>
      </c>
      <c r="AH93" s="138">
        <f>SUM(AE93:AG93)</f>
        <v>3</v>
      </c>
      <c r="AI93" s="137">
        <f>IF(AH93=3,2*$B$7+U93,0)</f>
        <v>0.64500000000000002</v>
      </c>
      <c r="AJ93" s="139">
        <f>IF(AI93&gt;0,I93*VLOOKUP(T93,'$ alcantarillado'!$I$6:$K$22,3),0)</f>
        <v>1912173.3333333335</v>
      </c>
      <c r="AK93" s="139">
        <f t="shared" si="178"/>
        <v>3499254.0000000047</v>
      </c>
      <c r="AL93" s="139">
        <f t="shared" si="179"/>
        <v>1287774.9450000019</v>
      </c>
      <c r="AM93" s="139">
        <f>IF(AJ93&gt;0,AJ93+AK93+AL93,0)</f>
        <v>6699202.2783333398</v>
      </c>
      <c r="AN93" s="180">
        <f>IF(AP48&gt;0,IF(AP176&gt;0,AP48+AP176,0),0)</f>
        <v>0</v>
      </c>
      <c r="AO93" s="140" t="str">
        <f>IF((AM93)&gt;0,IF(AN93&gt;0,AM93+AN93,""),"")</f>
        <v/>
      </c>
      <c r="AP93" s="217">
        <f>+MIN(AO93:AO97)</f>
        <v>31358893.832333364</v>
      </c>
      <c r="AQ93" s="142"/>
      <c r="AR93" s="165"/>
    </row>
    <row r="94" spans="1:44" x14ac:dyDescent="0.25">
      <c r="A94" s="230"/>
      <c r="B94" s="230"/>
      <c r="C94" s="230"/>
      <c r="D94" s="230"/>
      <c r="E94" s="141">
        <v>2</v>
      </c>
      <c r="F94" s="177">
        <f>IF(H54&lt;H182,H54,H182)</f>
        <v>46.89</v>
      </c>
      <c r="G94" s="141">
        <v>5</v>
      </c>
      <c r="H94" s="128">
        <f>+H93</f>
        <v>45.39</v>
      </c>
      <c r="I94" s="142">
        <f>+I93</f>
        <v>80</v>
      </c>
      <c r="J94" s="143">
        <f t="shared" si="240"/>
        <v>1.8749999999999999E-2</v>
      </c>
      <c r="K94" s="142">
        <f>+K93</f>
        <v>1264</v>
      </c>
      <c r="L94" s="128">
        <f t="shared" si="241"/>
        <v>15.456099999999999</v>
      </c>
      <c r="M94" s="144">
        <f t="shared" ref="M94:M97" si="260">+L94/1000</f>
        <v>1.5456099999999999E-2</v>
      </c>
      <c r="N94" s="144">
        <f t="shared" si="110"/>
        <v>0.12150132762084963</v>
      </c>
      <c r="O94" s="144">
        <f t="shared" si="235"/>
        <v>4.7835168354665205</v>
      </c>
      <c r="P94" s="145">
        <f t="shared" si="236"/>
        <v>6</v>
      </c>
      <c r="Q94" s="113">
        <f>IF(O94&gt;0,VLOOKUP(P94,'$ alcantarillado'!$I$5:$L$22,4,FALSE),"0")</f>
        <v>0.14499999999999999</v>
      </c>
      <c r="R94" s="113">
        <f t="shared" si="237"/>
        <v>2.4766531897991089E-2</v>
      </c>
      <c r="S94" s="146">
        <f t="shared" si="238"/>
        <v>0.62407203655565935</v>
      </c>
      <c r="T94" s="145">
        <f>+IF(S94&gt;$B$13,VLOOKUP(P94,'$ alcantarillado'!$I$6:$N$22,5),P94)</f>
        <v>6</v>
      </c>
      <c r="U94" s="113">
        <f>IF(O94&gt;0,VLOOKUP(T94,'$ alcantarillado'!$I$5:$L$22,4),"0")</f>
        <v>0.14499999999999999</v>
      </c>
      <c r="V94" s="113">
        <f t="shared" si="111"/>
        <v>2.4766531897991089E-2</v>
      </c>
      <c r="W94" s="146">
        <f t="shared" si="239"/>
        <v>0.62407203655565935</v>
      </c>
      <c r="X94" s="146">
        <f t="shared" ref="X94:X97" si="261">IF(T94&gt;0,4*V94/(PI()*(U94)^2),"")</f>
        <v>1.4998205849449258</v>
      </c>
      <c r="Y94" s="113">
        <f>IF(T94&gt;0,(VLOOKUP($W94,Relaciones!$A$4:$D$108,2)),"")</f>
        <v>0.90800000000000003</v>
      </c>
      <c r="Z94" s="146">
        <f t="shared" ref="Z94:Z97" si="262">IF(T94&gt;0,Y94*X94,"")</f>
        <v>1.3618370911299926</v>
      </c>
      <c r="AA94" s="146">
        <f t="shared" ref="AA94:AA97" si="263">IF(T94&gt;0,250*U94*J94,"")</f>
        <v>0.6796875</v>
      </c>
      <c r="AB94" s="147" t="str">
        <f t="shared" ref="AB94:AB97" si="264">IF(T94&gt;0,IF(W94&lt;=$B$13,"OK","No Cumple"),"")</f>
        <v>OK</v>
      </c>
      <c r="AC94" s="147" t="str">
        <f t="shared" ref="AC94:AC97" si="265">IF(T94&gt;0,IF(Z94&gt;=$B$12,"OK","No Cumple"),"")</f>
        <v>OK</v>
      </c>
      <c r="AD94" s="147" t="str">
        <f t="shared" ref="AD94:AD97" si="266">IF(T94&gt;0,IF(AA94&gt;$B$14,"OK","No Cumple"),"")</f>
        <v>OK</v>
      </c>
      <c r="AE94" s="148">
        <f t="shared" ref="AE94:AE97" si="267">+IF(AB94="OK",1,0)</f>
        <v>1</v>
      </c>
      <c r="AF94" s="148">
        <f t="shared" ref="AF94:AF97" si="268">+IF(AC94="OK",1,0)</f>
        <v>1</v>
      </c>
      <c r="AG94" s="148">
        <f t="shared" ref="AG94:AG97" si="269">+IF(AD94="OK",1,0)</f>
        <v>1</v>
      </c>
      <c r="AH94" s="148">
        <f t="shared" ref="AH94:AH97" si="270">SUM(AE94:AG94)</f>
        <v>3</v>
      </c>
      <c r="AI94" s="147">
        <f t="shared" ref="AI94:AI97" si="271">IF(AH94=3,2*$B$7+U94,0)</f>
        <v>0.64500000000000002</v>
      </c>
      <c r="AJ94" s="149">
        <f>IF(AI94&gt;0,I94*VLOOKUP(T94,'$ alcantarillado'!$I$6:$K$22,3),0)</f>
        <v>1912173.3333333335</v>
      </c>
      <c r="AK94" s="149">
        <f t="shared" si="178"/>
        <v>3963654.0000000042</v>
      </c>
      <c r="AL94" s="149">
        <f t="shared" si="179"/>
        <v>1636765.4450000019</v>
      </c>
      <c r="AM94" s="149">
        <f t="shared" si="254"/>
        <v>7512592.7783333398</v>
      </c>
      <c r="AN94" s="180">
        <f>IF(AP53&gt;0,IF(AP181&gt;0,AP53+AP181,0),0)</f>
        <v>23846301.054000024</v>
      </c>
      <c r="AO94" s="150">
        <f t="shared" si="106"/>
        <v>31358893.832333364</v>
      </c>
      <c r="AP94" s="218"/>
      <c r="AQ94" s="142"/>
      <c r="AR94" s="165"/>
    </row>
    <row r="95" spans="1:44" x14ac:dyDescent="0.25">
      <c r="A95" s="230"/>
      <c r="B95" s="230"/>
      <c r="C95" s="230"/>
      <c r="D95" s="230"/>
      <c r="E95" s="151">
        <v>3</v>
      </c>
      <c r="F95" s="177">
        <f>IF(H60&lt;H187,H60,H187)</f>
        <v>46.39</v>
      </c>
      <c r="G95" s="151">
        <v>5</v>
      </c>
      <c r="H95" s="128">
        <f t="shared" ref="H95" si="272">+H94</f>
        <v>45.39</v>
      </c>
      <c r="I95" s="142">
        <f t="shared" ref="I95" si="273">+I94</f>
        <v>80</v>
      </c>
      <c r="J95" s="143">
        <f t="shared" si="240"/>
        <v>1.2500000000000001E-2</v>
      </c>
      <c r="K95" s="142">
        <f t="shared" ref="K95:K96" si="274">+K94</f>
        <v>1264</v>
      </c>
      <c r="L95" s="128">
        <f t="shared" si="241"/>
        <v>15.456099999999999</v>
      </c>
      <c r="M95" s="144">
        <f t="shared" si="260"/>
        <v>1.5456099999999999E-2</v>
      </c>
      <c r="N95" s="144">
        <f t="shared" si="110"/>
        <v>0.13109862432799763</v>
      </c>
      <c r="O95" s="144">
        <f t="shared" si="235"/>
        <v>5.1613631625195922</v>
      </c>
      <c r="P95" s="145">
        <f t="shared" si="236"/>
        <v>6</v>
      </c>
      <c r="Q95" s="113">
        <f>IF(O95&gt;0,VLOOKUP(P95,'$ alcantarillado'!$I$5:$L$22,4,FALSE),"0")</f>
        <v>0.14499999999999999</v>
      </c>
      <c r="R95" s="113">
        <f t="shared" si="237"/>
        <v>2.0221788616147186E-2</v>
      </c>
      <c r="S95" s="146">
        <f t="shared" si="238"/>
        <v>0.76432902615044818</v>
      </c>
      <c r="T95" s="145">
        <f>+IF(S95&gt;$B$13,VLOOKUP(P95,'$ alcantarillado'!$I$6:$N$22,5),P95)</f>
        <v>6</v>
      </c>
      <c r="U95" s="113">
        <f>IF(O95&gt;0,VLOOKUP(T95,'$ alcantarillado'!$I$5:$L$22,4),"0")</f>
        <v>0.14499999999999999</v>
      </c>
      <c r="V95" s="113">
        <f t="shared" si="111"/>
        <v>2.0221788616147186E-2</v>
      </c>
      <c r="W95" s="146">
        <f t="shared" si="239"/>
        <v>0.76432902615044818</v>
      </c>
      <c r="X95" s="146">
        <f t="shared" si="261"/>
        <v>1.2245983796125537</v>
      </c>
      <c r="Y95" s="113">
        <f>IF(T95&gt;0,(VLOOKUP($W95,Relaciones!$A$4:$D$108,2)),"")</f>
        <v>0.96899999999999997</v>
      </c>
      <c r="Z95" s="146">
        <f t="shared" si="262"/>
        <v>1.1866358298445645</v>
      </c>
      <c r="AA95" s="146">
        <f t="shared" si="263"/>
        <v>0.453125</v>
      </c>
      <c r="AB95" s="147" t="str">
        <f t="shared" si="264"/>
        <v>OK</v>
      </c>
      <c r="AC95" s="147" t="str">
        <f t="shared" si="265"/>
        <v>OK</v>
      </c>
      <c r="AD95" s="147" t="str">
        <f t="shared" si="266"/>
        <v>OK</v>
      </c>
      <c r="AE95" s="148">
        <f t="shared" si="267"/>
        <v>1</v>
      </c>
      <c r="AF95" s="148">
        <f t="shared" si="268"/>
        <v>1</v>
      </c>
      <c r="AG95" s="148">
        <f t="shared" si="269"/>
        <v>1</v>
      </c>
      <c r="AH95" s="148">
        <f t="shared" si="270"/>
        <v>3</v>
      </c>
      <c r="AI95" s="147">
        <f t="shared" si="271"/>
        <v>0.64500000000000002</v>
      </c>
      <c r="AJ95" s="149">
        <f>IF(AI95&gt;0,I95*VLOOKUP(T95,'$ alcantarillado'!$I$6:$K$22,3),0)</f>
        <v>1912173.3333333335</v>
      </c>
      <c r="AK95" s="149">
        <f t="shared" si="178"/>
        <v>4428054.0000000047</v>
      </c>
      <c r="AL95" s="149">
        <f t="shared" si="179"/>
        <v>1985755.9450000019</v>
      </c>
      <c r="AM95" s="149">
        <f t="shared" si="254"/>
        <v>8325983.2783333398</v>
      </c>
      <c r="AN95" s="180">
        <f>IF(AP58&gt;0,IF(AP186&gt;0,AP58+AP186,0),0)</f>
        <v>23327184.58366669</v>
      </c>
      <c r="AO95" s="150">
        <f t="shared" si="106"/>
        <v>31653167.86200003</v>
      </c>
      <c r="AP95" s="219"/>
      <c r="AQ95" s="142">
        <v>2</v>
      </c>
      <c r="AR95" s="165">
        <v>5</v>
      </c>
    </row>
    <row r="96" spans="1:44" x14ac:dyDescent="0.25">
      <c r="A96" s="230"/>
      <c r="B96" s="230"/>
      <c r="C96" s="230"/>
      <c r="D96" s="230"/>
      <c r="E96" s="151">
        <v>4</v>
      </c>
      <c r="F96" s="177">
        <f>IF(H64&lt;H193,H64,H193)</f>
        <v>45.89</v>
      </c>
      <c r="G96" s="151">
        <v>5</v>
      </c>
      <c r="H96" s="128">
        <f t="shared" ref="H96" si="275">+H95</f>
        <v>45.39</v>
      </c>
      <c r="I96" s="142">
        <f t="shared" ref="I96" si="276">+I95</f>
        <v>80</v>
      </c>
      <c r="J96" s="143">
        <f>+(F96-H96)/I96</f>
        <v>6.2500000000000003E-3</v>
      </c>
      <c r="K96" s="142">
        <f t="shared" si="274"/>
        <v>1264</v>
      </c>
      <c r="L96" s="128">
        <f t="shared" si="241"/>
        <v>15.456099999999999</v>
      </c>
      <c r="M96" s="144">
        <f t="shared" si="260"/>
        <v>1.5456099999999999E-2</v>
      </c>
      <c r="N96" s="144">
        <f t="shared" si="110"/>
        <v>0.14929362341696081</v>
      </c>
      <c r="O96" s="144">
        <f t="shared" si="235"/>
        <v>5.8777017093291661</v>
      </c>
      <c r="P96" s="145">
        <f t="shared" si="236"/>
        <v>6</v>
      </c>
      <c r="Q96" s="113">
        <f>IF(O96&gt;0,VLOOKUP(P96,'$ alcantarillado'!$I$5:$L$22,4,FALSE),"0")</f>
        <v>0.14499999999999999</v>
      </c>
      <c r="R96" s="113">
        <f t="shared" si="237"/>
        <v>1.4298963858198607E-2</v>
      </c>
      <c r="S96" s="146">
        <f t="shared" si="238"/>
        <v>1.0809244748973839</v>
      </c>
      <c r="T96" s="145">
        <f>+IF(S96&gt;$B$13,VLOOKUP(P96,'$ alcantarillado'!$I$6:$N$22,5),P96)</f>
        <v>8</v>
      </c>
      <c r="U96" s="113">
        <f>IF(O96&gt;0,VLOOKUP(T96,'$ alcantarillado'!$I$5:$L$22,4),"0")</f>
        <v>0.182</v>
      </c>
      <c r="V96" s="113">
        <f t="shared" si="111"/>
        <v>2.6212811057560712E-2</v>
      </c>
      <c r="W96" s="146">
        <f t="shared" si="239"/>
        <v>0.58963916407362604</v>
      </c>
      <c r="X96" s="146">
        <f t="shared" si="261"/>
        <v>1.0075832513330949</v>
      </c>
      <c r="Y96" s="113">
        <f>IF(T96&gt;0,(VLOOKUP($W96,Relaciones!$A$4:$D$108,2)),"")</f>
        <v>0.89</v>
      </c>
      <c r="Z96" s="146">
        <f t="shared" si="262"/>
        <v>0.8967490936864545</v>
      </c>
      <c r="AA96" s="146">
        <f t="shared" si="263"/>
        <v>0.28437499999999999</v>
      </c>
      <c r="AB96" s="147" t="str">
        <f t="shared" si="264"/>
        <v>OK</v>
      </c>
      <c r="AC96" s="147" t="str">
        <f t="shared" si="265"/>
        <v>OK</v>
      </c>
      <c r="AD96" s="147" t="str">
        <f t="shared" si="266"/>
        <v>OK</v>
      </c>
      <c r="AE96" s="148">
        <f t="shared" si="267"/>
        <v>1</v>
      </c>
      <c r="AF96" s="148">
        <f t="shared" si="268"/>
        <v>1</v>
      </c>
      <c r="AG96" s="148">
        <f t="shared" si="269"/>
        <v>1</v>
      </c>
      <c r="AH96" s="148">
        <f t="shared" si="270"/>
        <v>3</v>
      </c>
      <c r="AI96" s="147">
        <f t="shared" si="271"/>
        <v>0.68199999999999994</v>
      </c>
      <c r="AJ96" s="149">
        <f>IF(AI96&gt;0,I96*VLOOKUP(T96,'$ alcantarillado'!$I$6:$K$22,3),0)</f>
        <v>2654586.666666667</v>
      </c>
      <c r="AK96" s="149">
        <f t="shared" si="178"/>
        <v>5227611.8400000036</v>
      </c>
      <c r="AL96" s="149">
        <f t="shared" si="179"/>
        <v>2360571.7420000019</v>
      </c>
      <c r="AM96" s="149">
        <f t="shared" si="254"/>
        <v>10242770.248666672</v>
      </c>
      <c r="AN96" s="180">
        <f>IF(AP63&gt;0,IF(AP191&gt;0,AP63+AP191,0),0)</f>
        <v>23791584.58366669</v>
      </c>
      <c r="AO96" s="150">
        <f t="shared" si="106"/>
        <v>34034354.832333364</v>
      </c>
      <c r="AP96" s="219"/>
      <c r="AQ96" s="142"/>
      <c r="AR96" s="165"/>
    </row>
    <row r="97" spans="1:44" ht="15.75" thickBot="1" x14ac:dyDescent="0.3">
      <c r="A97" s="231"/>
      <c r="B97" s="231"/>
      <c r="C97" s="231"/>
      <c r="D97" s="231"/>
      <c r="E97" s="152">
        <v>5</v>
      </c>
      <c r="F97" s="178">
        <f>IF(H71&lt;H196,H71,H196)</f>
        <v>45.39</v>
      </c>
      <c r="G97" s="152">
        <v>5</v>
      </c>
      <c r="H97" s="153">
        <f>+H96</f>
        <v>45.39</v>
      </c>
      <c r="I97" s="154">
        <f>+I96</f>
        <v>80</v>
      </c>
      <c r="J97" s="155">
        <f t="shared" si="240"/>
        <v>0</v>
      </c>
      <c r="K97" s="154">
        <f>+K96</f>
        <v>1264</v>
      </c>
      <c r="L97" s="153">
        <f t="shared" si="241"/>
        <v>15.456099999999999</v>
      </c>
      <c r="M97" s="156">
        <f t="shared" si="260"/>
        <v>1.5456099999999999E-2</v>
      </c>
      <c r="N97" s="156">
        <f t="shared" si="110"/>
        <v>0</v>
      </c>
      <c r="O97" s="156">
        <f t="shared" si="235"/>
        <v>0</v>
      </c>
      <c r="P97" s="157">
        <f t="shared" si="236"/>
        <v>0</v>
      </c>
      <c r="Q97" s="113" t="str">
        <f>IF(O97&gt;0,VLOOKUP(P97,'$ alcantarillado'!$I$5:$L$22,4,FALSE),"0")</f>
        <v>0</v>
      </c>
      <c r="R97" s="160" t="str">
        <f t="shared" si="237"/>
        <v/>
      </c>
      <c r="S97" s="146">
        <f t="shared" si="238"/>
        <v>0</v>
      </c>
      <c r="T97" s="145">
        <f>+IF(S97&gt;$B$13,VLOOKUP(P97,'$ alcantarillado'!$I$6:$N$22,5),P97)</f>
        <v>0</v>
      </c>
      <c r="U97" s="113" t="str">
        <f>IF(O97&gt;0,VLOOKUP(T97,'$ alcantarillado'!$I$5:$L$22,4),"0")</f>
        <v>0</v>
      </c>
      <c r="V97" s="113" t="str">
        <f t="shared" si="111"/>
        <v/>
      </c>
      <c r="W97" s="146">
        <f t="shared" si="239"/>
        <v>0</v>
      </c>
      <c r="X97" s="146" t="str">
        <f t="shared" si="261"/>
        <v/>
      </c>
      <c r="Y97" s="113" t="str">
        <f>IF(T97&gt;0,(VLOOKUP($W97,Relaciones!$A$4:$D$108,2)),"")</f>
        <v/>
      </c>
      <c r="Z97" s="146" t="str">
        <f t="shared" si="262"/>
        <v/>
      </c>
      <c r="AA97" s="146" t="str">
        <f t="shared" si="263"/>
        <v/>
      </c>
      <c r="AB97" s="147" t="str">
        <f t="shared" si="264"/>
        <v/>
      </c>
      <c r="AC97" s="147" t="str">
        <f t="shared" si="265"/>
        <v/>
      </c>
      <c r="AD97" s="147" t="str">
        <f t="shared" si="266"/>
        <v/>
      </c>
      <c r="AE97" s="148">
        <f t="shared" si="267"/>
        <v>0</v>
      </c>
      <c r="AF97" s="148">
        <f t="shared" si="268"/>
        <v>0</v>
      </c>
      <c r="AG97" s="148">
        <f t="shared" si="269"/>
        <v>0</v>
      </c>
      <c r="AH97" s="148">
        <f t="shared" si="270"/>
        <v>0</v>
      </c>
      <c r="AI97" s="147">
        <f t="shared" si="271"/>
        <v>0</v>
      </c>
      <c r="AJ97" s="158">
        <f>IF(AI97&gt;0,I97*VLOOKUP(T97,'$ alcantarillado'!$I$6:$K$22,3),0)</f>
        <v>0</v>
      </c>
      <c r="AK97" s="149">
        <f t="shared" si="178"/>
        <v>0</v>
      </c>
      <c r="AL97" s="149">
        <f t="shared" si="179"/>
        <v>0</v>
      </c>
      <c r="AM97" s="158">
        <f t="shared" si="254"/>
        <v>0</v>
      </c>
      <c r="AN97" s="180">
        <f>IF(AP68&gt;0,IF(AP196&gt;0,AP68+AP196,0),0)</f>
        <v>24255984.58366669</v>
      </c>
      <c r="AO97" s="159" t="str">
        <f t="shared" si="106"/>
        <v/>
      </c>
      <c r="AP97" s="220"/>
      <c r="AQ97" s="142"/>
      <c r="AR97" s="165"/>
    </row>
    <row r="98" spans="1:44" x14ac:dyDescent="0.25">
      <c r="A98" s="210">
        <v>4</v>
      </c>
      <c r="B98" s="210">
        <f>+C73</f>
        <v>6</v>
      </c>
      <c r="C98" s="210">
        <v>7</v>
      </c>
      <c r="D98" s="210">
        <v>49.09</v>
      </c>
      <c r="E98" s="4">
        <v>1</v>
      </c>
      <c r="F98" s="7">
        <f>+H73</f>
        <v>47.39</v>
      </c>
      <c r="G98" s="4">
        <v>1</v>
      </c>
      <c r="H98" s="2">
        <f>+$D$123-$B$5-$B$4</f>
        <v>47.39</v>
      </c>
      <c r="I98" s="7">
        <f t="shared" ref="I98" si="277">+I87</f>
        <v>80</v>
      </c>
      <c r="J98" s="17">
        <f>+(F98-H98)/I98</f>
        <v>0</v>
      </c>
      <c r="K98" s="7">
        <f>+K87+H5</f>
        <v>1281</v>
      </c>
      <c r="L98" s="14">
        <f>IF(K98&lt;38,K98^0.3686*0.7401,IF(K98&lt;235,K98^0.4193*0.6215,IF(K98&lt;932,K98*0.0092+4.2493,K98*0.0069+6.7345)))</f>
        <v>15.573399999999999</v>
      </c>
      <c r="M98" s="31">
        <f>+L98/1000</f>
        <v>1.5573399999999999E-2</v>
      </c>
      <c r="N98" s="31">
        <f t="shared" si="110"/>
        <v>0</v>
      </c>
      <c r="O98" s="31">
        <f t="shared" si="235"/>
        <v>0</v>
      </c>
      <c r="P98" s="57">
        <f t="shared" si="236"/>
        <v>0</v>
      </c>
      <c r="Q98" s="60" t="str">
        <f>IF(O98&gt;0,VLOOKUP(P98,'$ alcantarillado'!$I$5:$L$22,4,FALSE),"0")</f>
        <v>0</v>
      </c>
      <c r="R98" s="60" t="str">
        <f t="shared" si="237"/>
        <v/>
      </c>
      <c r="S98" s="27">
        <f t="shared" si="238"/>
        <v>0</v>
      </c>
      <c r="T98" s="57">
        <f>+IF(S98&gt;$B$13,VLOOKUP(P98,'$ alcantarillado'!$I$6:$N$22,5),P98)</f>
        <v>0</v>
      </c>
      <c r="U98" s="60" t="str">
        <f>IF(O98&gt;0,VLOOKUP(T98,'$ alcantarillado'!$I$5:$L$22,4),"0")</f>
        <v>0</v>
      </c>
      <c r="V98" s="60" t="str">
        <f t="shared" si="111"/>
        <v/>
      </c>
      <c r="W98" s="27">
        <f t="shared" si="239"/>
        <v>0</v>
      </c>
      <c r="X98" s="27" t="str">
        <f>IF(T98&gt;0,4*V98/(PI()*(U98)^2),"")</f>
        <v/>
      </c>
      <c r="Y98" s="60" t="str">
        <f>IF(T98&gt;0,(VLOOKUP($W98,Relaciones!$A$4:$D$108,2)),"")</f>
        <v/>
      </c>
      <c r="Z98" s="27" t="str">
        <f>IF(T98&gt;0,Y98*X98,"")</f>
        <v/>
      </c>
      <c r="AA98" s="27" t="str">
        <f>IF(T98&gt;0,250*U98*J98,"")</f>
        <v/>
      </c>
      <c r="AB98" s="45" t="str">
        <f>IF(T98&gt;0,IF(W98&lt;=$B$13,"OK","No Cumple"),"")</f>
        <v/>
      </c>
      <c r="AC98" s="45" t="str">
        <f>IF(T98&gt;0,IF(Z98&gt;=$B$12,"OK","No Cumple"),"")</f>
        <v/>
      </c>
      <c r="AD98" s="45" t="str">
        <f>IF(T98&gt;0,IF(AA98&gt;$B$14,"OK","No Cumple"),"")</f>
        <v/>
      </c>
      <c r="AE98" s="32">
        <f>+IF(AB98="OK",1,0)</f>
        <v>0</v>
      </c>
      <c r="AF98" s="32">
        <f>+IF(AC98="OK",1,0)</f>
        <v>0</v>
      </c>
      <c r="AG98" s="32">
        <f>+IF(AD98="OK",1,0)</f>
        <v>0</v>
      </c>
      <c r="AH98" s="32">
        <f>SUM(AE98:AG98)</f>
        <v>0</v>
      </c>
      <c r="AI98" s="45">
        <f>IF(AH98=3,2*$B$7+U98,0)</f>
        <v>0</v>
      </c>
      <c r="AJ98" s="21">
        <f>IF(AI98&gt;0,I98*VLOOKUP(T98,'$ alcantarillado'!$I$6:$K$22,3),0)</f>
        <v>0</v>
      </c>
      <c r="AK98" s="61">
        <f t="shared" ref="AK98:AK122" si="278">IF(N98&gt;0,((($D$98-F98)+(U98))+(($D$123-H98)+(U98))/2)*AI98*I98*$C$9,0)</f>
        <v>0</v>
      </c>
      <c r="AL98" s="61">
        <f t="shared" ref="AL98:AL122" si="279">IF(AI98&gt;0,(($D$98-F98)+U98)*$C$10,0)</f>
        <v>0</v>
      </c>
      <c r="AM98" s="21">
        <f>IF(AJ98&gt;0,AJ98+AK98+AL98,0)</f>
        <v>0</v>
      </c>
      <c r="AN98" s="49">
        <f>IF(AP73&gt;0,+AP73,0)</f>
        <v>0</v>
      </c>
      <c r="AO98" s="77" t="str">
        <f>IF((AM98)&gt;0,IF(AN98&gt;0,AM98+AN98,""),"")</f>
        <v/>
      </c>
      <c r="AP98" s="213">
        <f t="shared" ref="AP98" si="280">+MIN(AO98:AO102)</f>
        <v>0</v>
      </c>
      <c r="AQ98" s="7"/>
      <c r="AR98" s="8"/>
    </row>
    <row r="99" spans="1:44" x14ac:dyDescent="0.25">
      <c r="A99" s="211"/>
      <c r="B99" s="211"/>
      <c r="C99" s="211"/>
      <c r="D99" s="211"/>
      <c r="E99" s="5">
        <v>2</v>
      </c>
      <c r="F99" s="2">
        <f>+H78</f>
        <v>46.89</v>
      </c>
      <c r="G99" s="5">
        <v>1</v>
      </c>
      <c r="H99" s="2">
        <f>+H98</f>
        <v>47.39</v>
      </c>
      <c r="I99" s="2">
        <f>+I98</f>
        <v>80</v>
      </c>
      <c r="J99" s="18">
        <f t="shared" ref="J99:J122" si="281">+(F99-H99)/I99</f>
        <v>-6.2500000000000003E-3</v>
      </c>
      <c r="K99" s="2">
        <f>+K98</f>
        <v>1281</v>
      </c>
      <c r="L99" s="15">
        <f t="shared" ref="L99:L122" si="282">IF(K99&lt;38,K99^0.3686*0.7401,IF(K99&lt;235,K99^0.4193*0.6215,IF(K99&lt;932,K99*0.0092+4.2493,K99*0.0069+6.7345)))</f>
        <v>15.573399999999999</v>
      </c>
      <c r="M99" s="33">
        <f t="shared" ref="M99:M102" si="283">+L99/1000</f>
        <v>1.5573399999999999E-2</v>
      </c>
      <c r="N99" s="33">
        <f t="shared" si="110"/>
        <v>0</v>
      </c>
      <c r="O99" s="33">
        <f t="shared" si="235"/>
        <v>0</v>
      </c>
      <c r="P99" s="58">
        <f t="shared" si="236"/>
        <v>0</v>
      </c>
      <c r="Q99" s="55" t="str">
        <f>IF(O99&gt;0,VLOOKUP(P99,'$ alcantarillado'!$I$5:$L$22,4,FALSE),"0")</f>
        <v>0</v>
      </c>
      <c r="R99" s="55" t="str">
        <f t="shared" si="237"/>
        <v/>
      </c>
      <c r="S99" s="35">
        <f t="shared" si="238"/>
        <v>0</v>
      </c>
      <c r="T99" s="58">
        <f>+IF(S99&gt;$B$13,VLOOKUP(P99,'$ alcantarillado'!$I$6:$N$22,5),P99)</f>
        <v>0</v>
      </c>
      <c r="U99" s="55" t="str">
        <f>IF(O99&gt;0,VLOOKUP(T99,'$ alcantarillado'!$I$5:$L$22,4),"0")</f>
        <v>0</v>
      </c>
      <c r="V99" s="55" t="str">
        <f t="shared" si="111"/>
        <v/>
      </c>
      <c r="W99" s="35">
        <f t="shared" si="239"/>
        <v>0</v>
      </c>
      <c r="X99" s="35" t="str">
        <f t="shared" ref="X99:X102" si="284">IF(T99&gt;0,4*V99/(PI()*(U99)^2),"")</f>
        <v/>
      </c>
      <c r="Y99" s="55" t="str">
        <f>IF(T99&gt;0,(VLOOKUP($W99,Relaciones!$A$4:$D$108,2)),"")</f>
        <v/>
      </c>
      <c r="Z99" s="35" t="str">
        <f t="shared" ref="Z99:Z102" si="285">IF(T99&gt;0,Y99*X99,"")</f>
        <v/>
      </c>
      <c r="AA99" s="35" t="str">
        <f t="shared" ref="AA99:AA102" si="286">IF(T99&gt;0,250*U99*J99,"")</f>
        <v/>
      </c>
      <c r="AB99" s="46" t="str">
        <f t="shared" ref="AB99:AB102" si="287">IF(T99&gt;0,IF(W99&lt;=$B$13,"OK","No Cumple"),"")</f>
        <v/>
      </c>
      <c r="AC99" s="46" t="str">
        <f t="shared" ref="AC99:AC102" si="288">IF(T99&gt;0,IF(Z99&gt;=$B$12,"OK","No Cumple"),"")</f>
        <v/>
      </c>
      <c r="AD99" s="46" t="str">
        <f t="shared" ref="AD99:AD102" si="289">IF(T99&gt;0,IF(AA99&gt;$B$14,"OK","No Cumple"),"")</f>
        <v/>
      </c>
      <c r="AE99" s="48">
        <f t="shared" ref="AE99:AE102" si="290">+IF(AB99="OK",1,0)</f>
        <v>0</v>
      </c>
      <c r="AF99" s="48">
        <f t="shared" ref="AF99:AF102" si="291">+IF(AC99="OK",1,0)</f>
        <v>0</v>
      </c>
      <c r="AG99" s="48">
        <f t="shared" ref="AG99:AG102" si="292">+IF(AD99="OK",1,0)</f>
        <v>0</v>
      </c>
      <c r="AH99" s="48">
        <f t="shared" ref="AH99:AH102" si="293">SUM(AE99:AG99)</f>
        <v>0</v>
      </c>
      <c r="AI99" s="46">
        <f t="shared" ref="AI99:AI102" si="294">IF(AH99=3,2*$B$7+U99,0)</f>
        <v>0</v>
      </c>
      <c r="AJ99" s="20">
        <f>IF(AI99&gt;0,I99*VLOOKUP(T99,'$ alcantarillado'!$I$6:$K$22,3),0)</f>
        <v>0</v>
      </c>
      <c r="AK99" s="20">
        <f t="shared" si="278"/>
        <v>0</v>
      </c>
      <c r="AL99" s="20">
        <f t="shared" si="279"/>
        <v>0</v>
      </c>
      <c r="AM99" s="20">
        <f t="shared" ref="AM99:AM122" si="295">IF(AJ99&gt;0,AJ99+AK99+AL99,0)</f>
        <v>0</v>
      </c>
      <c r="AN99" s="50">
        <f>+AP78</f>
        <v>0</v>
      </c>
      <c r="AO99" s="78" t="str">
        <f t="shared" si="106"/>
        <v/>
      </c>
      <c r="AP99" s="214"/>
      <c r="AQ99" s="2"/>
      <c r="AR99" s="9"/>
    </row>
    <row r="100" spans="1:44" x14ac:dyDescent="0.25">
      <c r="A100" s="211"/>
      <c r="B100" s="211"/>
      <c r="C100" s="211"/>
      <c r="D100" s="211"/>
      <c r="E100" s="56">
        <v>3</v>
      </c>
      <c r="F100" s="2">
        <f>+H83</f>
        <v>46.39</v>
      </c>
      <c r="G100" s="56">
        <v>1</v>
      </c>
      <c r="H100" s="2">
        <f t="shared" ref="H100:H102" si="296">+H99</f>
        <v>47.39</v>
      </c>
      <c r="I100" s="2">
        <f t="shared" ref="I100" si="297">+I99</f>
        <v>80</v>
      </c>
      <c r="J100" s="18">
        <f t="shared" si="281"/>
        <v>-1.2500000000000001E-2</v>
      </c>
      <c r="K100" s="2">
        <f t="shared" ref="K100" si="298">+K99</f>
        <v>1281</v>
      </c>
      <c r="L100" s="15">
        <f t="shared" si="282"/>
        <v>15.573399999999999</v>
      </c>
      <c r="M100" s="33">
        <f t="shared" si="283"/>
        <v>1.5573399999999999E-2</v>
      </c>
      <c r="N100" s="33">
        <f t="shared" si="110"/>
        <v>0</v>
      </c>
      <c r="O100" s="33">
        <f t="shared" si="235"/>
        <v>0</v>
      </c>
      <c r="P100" s="58">
        <f t="shared" si="236"/>
        <v>0</v>
      </c>
      <c r="Q100" s="55" t="str">
        <f>IF(O100&gt;0,VLOOKUP(P100,'$ alcantarillado'!$I$5:$L$22,4,FALSE),"0")</f>
        <v>0</v>
      </c>
      <c r="R100" s="55" t="str">
        <f t="shared" si="237"/>
        <v/>
      </c>
      <c r="S100" s="35">
        <f t="shared" si="238"/>
        <v>0</v>
      </c>
      <c r="T100" s="58">
        <f>+IF(S100&gt;$B$13,VLOOKUP(P100,'$ alcantarillado'!$I$6:$N$22,5),P100)</f>
        <v>0</v>
      </c>
      <c r="U100" s="55" t="str">
        <f>IF(O100&gt;0,VLOOKUP(T100,'$ alcantarillado'!$I$5:$L$22,4),"0")</f>
        <v>0</v>
      </c>
      <c r="V100" s="55" t="str">
        <f t="shared" si="111"/>
        <v/>
      </c>
      <c r="W100" s="35">
        <f t="shared" si="239"/>
        <v>0</v>
      </c>
      <c r="X100" s="35" t="str">
        <f t="shared" si="284"/>
        <v/>
      </c>
      <c r="Y100" s="55" t="str">
        <f>IF(T100&gt;0,(VLOOKUP($W100,Relaciones!$A$4:$D$108,2)),"")</f>
        <v/>
      </c>
      <c r="Z100" s="35" t="str">
        <f t="shared" si="285"/>
        <v/>
      </c>
      <c r="AA100" s="35" t="str">
        <f t="shared" si="286"/>
        <v/>
      </c>
      <c r="AB100" s="46" t="str">
        <f t="shared" si="287"/>
        <v/>
      </c>
      <c r="AC100" s="46" t="str">
        <f t="shared" si="288"/>
        <v/>
      </c>
      <c r="AD100" s="46" t="str">
        <f t="shared" si="289"/>
        <v/>
      </c>
      <c r="AE100" s="48">
        <f t="shared" si="290"/>
        <v>0</v>
      </c>
      <c r="AF100" s="48">
        <f t="shared" si="291"/>
        <v>0</v>
      </c>
      <c r="AG100" s="48">
        <f t="shared" si="292"/>
        <v>0</v>
      </c>
      <c r="AH100" s="48">
        <f t="shared" si="293"/>
        <v>0</v>
      </c>
      <c r="AI100" s="46">
        <f t="shared" si="294"/>
        <v>0</v>
      </c>
      <c r="AJ100" s="20">
        <f>IF(AI100&gt;0,I100*VLOOKUP(T100,'$ alcantarillado'!$I$6:$K$22,3),0)</f>
        <v>0</v>
      </c>
      <c r="AK100" s="20">
        <f t="shared" si="278"/>
        <v>0</v>
      </c>
      <c r="AL100" s="20">
        <f t="shared" si="279"/>
        <v>0</v>
      </c>
      <c r="AM100" s="20">
        <f t="shared" si="295"/>
        <v>0</v>
      </c>
      <c r="AN100" s="50">
        <f>+AP83</f>
        <v>31917970.302666694</v>
      </c>
      <c r="AO100" s="78" t="str">
        <f t="shared" si="106"/>
        <v/>
      </c>
      <c r="AP100" s="215"/>
      <c r="AQ100" s="2"/>
      <c r="AR100" s="9"/>
    </row>
    <row r="101" spans="1:44" x14ac:dyDescent="0.25">
      <c r="A101" s="211"/>
      <c r="B101" s="211"/>
      <c r="C101" s="211"/>
      <c r="D101" s="211"/>
      <c r="E101" s="56">
        <v>4</v>
      </c>
      <c r="F101" s="2">
        <f>+H88</f>
        <v>45.89</v>
      </c>
      <c r="G101" s="56">
        <v>1</v>
      </c>
      <c r="H101" s="2">
        <f t="shared" si="296"/>
        <v>47.39</v>
      </c>
      <c r="I101" s="2">
        <f t="shared" ref="I101" si="299">+I100</f>
        <v>80</v>
      </c>
      <c r="J101" s="18">
        <f>+(F101-H101)/I101</f>
        <v>-1.8749999999999999E-2</v>
      </c>
      <c r="K101" s="2">
        <f t="shared" ref="K101" si="300">+K100</f>
        <v>1281</v>
      </c>
      <c r="L101" s="15">
        <f t="shared" si="282"/>
        <v>15.573399999999999</v>
      </c>
      <c r="M101" s="33">
        <f t="shared" si="283"/>
        <v>1.5573399999999999E-2</v>
      </c>
      <c r="N101" s="33">
        <f t="shared" si="110"/>
        <v>0</v>
      </c>
      <c r="O101" s="33">
        <f t="shared" si="235"/>
        <v>0</v>
      </c>
      <c r="P101" s="58">
        <f t="shared" si="236"/>
        <v>0</v>
      </c>
      <c r="Q101" s="55" t="str">
        <f>IF(O101&gt;0,VLOOKUP(P101,'$ alcantarillado'!$I$5:$L$22,4,FALSE),"0")</f>
        <v>0</v>
      </c>
      <c r="R101" s="55" t="str">
        <f t="shared" si="237"/>
        <v/>
      </c>
      <c r="S101" s="35">
        <f t="shared" si="238"/>
        <v>0</v>
      </c>
      <c r="T101" s="58">
        <f>+IF(S101&gt;$B$13,VLOOKUP(P101,'$ alcantarillado'!$I$6:$N$22,5),P101)</f>
        <v>0</v>
      </c>
      <c r="U101" s="55" t="str">
        <f>IF(O101&gt;0,VLOOKUP(T101,'$ alcantarillado'!$I$5:$L$22,4),"0")</f>
        <v>0</v>
      </c>
      <c r="V101" s="55" t="str">
        <f t="shared" si="111"/>
        <v/>
      </c>
      <c r="W101" s="35">
        <f t="shared" si="239"/>
        <v>0</v>
      </c>
      <c r="X101" s="35" t="str">
        <f t="shared" si="284"/>
        <v/>
      </c>
      <c r="Y101" s="55" t="str">
        <f>IF(T101&gt;0,(VLOOKUP($W101,Relaciones!$A$4:$D$108,2)),"")</f>
        <v/>
      </c>
      <c r="Z101" s="35" t="str">
        <f t="shared" si="285"/>
        <v/>
      </c>
      <c r="AA101" s="35" t="str">
        <f t="shared" si="286"/>
        <v/>
      </c>
      <c r="AB101" s="46" t="str">
        <f t="shared" si="287"/>
        <v/>
      </c>
      <c r="AC101" s="46" t="str">
        <f t="shared" si="288"/>
        <v/>
      </c>
      <c r="AD101" s="46" t="str">
        <f t="shared" si="289"/>
        <v/>
      </c>
      <c r="AE101" s="48">
        <f t="shared" si="290"/>
        <v>0</v>
      </c>
      <c r="AF101" s="48">
        <f t="shared" si="291"/>
        <v>0</v>
      </c>
      <c r="AG101" s="48">
        <f t="shared" si="292"/>
        <v>0</v>
      </c>
      <c r="AH101" s="48">
        <f t="shared" si="293"/>
        <v>0</v>
      </c>
      <c r="AI101" s="46">
        <f t="shared" si="294"/>
        <v>0</v>
      </c>
      <c r="AJ101" s="20">
        <f>IF(AI101&gt;0,I101*VLOOKUP(T101,'$ alcantarillado'!$I$6:$K$22,3),0)</f>
        <v>0</v>
      </c>
      <c r="AK101" s="20">
        <f t="shared" si="278"/>
        <v>0</v>
      </c>
      <c r="AL101" s="20">
        <f t="shared" si="279"/>
        <v>0</v>
      </c>
      <c r="AM101" s="20">
        <f t="shared" si="295"/>
        <v>0</v>
      </c>
      <c r="AN101" s="50">
        <f>+AP88</f>
        <v>31126693.832333364</v>
      </c>
      <c r="AO101" s="78" t="str">
        <f t="shared" si="106"/>
        <v/>
      </c>
      <c r="AP101" s="215"/>
      <c r="AQ101" s="2"/>
      <c r="AR101" s="9"/>
    </row>
    <row r="102" spans="1:44" ht="15.75" thickBot="1" x14ac:dyDescent="0.3">
      <c r="A102" s="211"/>
      <c r="B102" s="211"/>
      <c r="C102" s="211"/>
      <c r="D102" s="211"/>
      <c r="E102" s="6">
        <v>5</v>
      </c>
      <c r="F102" s="16">
        <f>+H93</f>
        <v>45.39</v>
      </c>
      <c r="G102" s="6">
        <v>1</v>
      </c>
      <c r="H102" s="10">
        <f t="shared" si="296"/>
        <v>47.39</v>
      </c>
      <c r="I102" s="10">
        <f>+I101</f>
        <v>80</v>
      </c>
      <c r="J102" s="19">
        <f t="shared" si="281"/>
        <v>-2.5000000000000001E-2</v>
      </c>
      <c r="K102" s="10">
        <f>+K101</f>
        <v>1281</v>
      </c>
      <c r="L102" s="16">
        <f t="shared" si="282"/>
        <v>15.573399999999999</v>
      </c>
      <c r="M102" s="34">
        <f t="shared" si="283"/>
        <v>1.5573399999999999E-2</v>
      </c>
      <c r="N102" s="34">
        <f t="shared" si="110"/>
        <v>0</v>
      </c>
      <c r="O102" s="34">
        <f t="shared" si="235"/>
        <v>0</v>
      </c>
      <c r="P102" s="59">
        <f t="shared" si="236"/>
        <v>0</v>
      </c>
      <c r="Q102" s="55" t="str">
        <f>IF(O102&gt;0,VLOOKUP(P102,'$ alcantarillado'!$I$5:$L$22,4,FALSE),"0")</f>
        <v>0</v>
      </c>
      <c r="R102" s="55" t="str">
        <f t="shared" si="237"/>
        <v/>
      </c>
      <c r="S102" s="35">
        <f t="shared" si="238"/>
        <v>0</v>
      </c>
      <c r="T102" s="58">
        <f>+IF(S102&gt;$B$13,VLOOKUP(P102,'$ alcantarillado'!$I$6:$N$22,5),P102)</f>
        <v>0</v>
      </c>
      <c r="U102" s="55" t="str">
        <f>IF(O102&gt;0,VLOOKUP(T102,'$ alcantarillado'!$I$5:$L$22,4),"0")</f>
        <v>0</v>
      </c>
      <c r="V102" s="55" t="str">
        <f t="shared" si="111"/>
        <v/>
      </c>
      <c r="W102" s="35">
        <f t="shared" si="239"/>
        <v>0</v>
      </c>
      <c r="X102" s="35" t="str">
        <f t="shared" si="284"/>
        <v/>
      </c>
      <c r="Y102" s="55" t="str">
        <f>IF(T102&gt;0,(VLOOKUP($W102,Relaciones!$A$4:$D$108,2)),"")</f>
        <v/>
      </c>
      <c r="Z102" s="35" t="str">
        <f t="shared" si="285"/>
        <v/>
      </c>
      <c r="AA102" s="35" t="str">
        <f t="shared" si="286"/>
        <v/>
      </c>
      <c r="AB102" s="46" t="str">
        <f t="shared" si="287"/>
        <v/>
      </c>
      <c r="AC102" s="46" t="str">
        <f t="shared" si="288"/>
        <v/>
      </c>
      <c r="AD102" s="46" t="str">
        <f t="shared" si="289"/>
        <v/>
      </c>
      <c r="AE102" s="48">
        <f t="shared" si="290"/>
        <v>0</v>
      </c>
      <c r="AF102" s="48">
        <f t="shared" si="291"/>
        <v>0</v>
      </c>
      <c r="AG102" s="48">
        <f t="shared" si="292"/>
        <v>0</v>
      </c>
      <c r="AH102" s="48">
        <f t="shared" si="293"/>
        <v>0</v>
      </c>
      <c r="AI102" s="46">
        <f t="shared" si="294"/>
        <v>0</v>
      </c>
      <c r="AJ102" s="22">
        <f>IF(AI102&gt;0,I102*VLOOKUP(T102,'$ alcantarillado'!$I$6:$K$22,3),0)</f>
        <v>0</v>
      </c>
      <c r="AK102" s="20">
        <f t="shared" si="278"/>
        <v>0</v>
      </c>
      <c r="AL102" s="20">
        <f t="shared" si="279"/>
        <v>0</v>
      </c>
      <c r="AM102" s="22">
        <f t="shared" si="295"/>
        <v>0</v>
      </c>
      <c r="AN102" s="50">
        <f>+AP93</f>
        <v>31358893.832333364</v>
      </c>
      <c r="AO102" s="79" t="str">
        <f t="shared" si="106"/>
        <v/>
      </c>
      <c r="AP102" s="216"/>
      <c r="AQ102" s="10"/>
      <c r="AR102" s="11"/>
    </row>
    <row r="103" spans="1:44" x14ac:dyDescent="0.25">
      <c r="A103" s="211"/>
      <c r="B103" s="211"/>
      <c r="C103" s="211"/>
      <c r="D103" s="211"/>
      <c r="E103" s="4">
        <v>1</v>
      </c>
      <c r="F103" s="7">
        <f>+H73</f>
        <v>47.39</v>
      </c>
      <c r="G103" s="4">
        <v>2</v>
      </c>
      <c r="H103" s="2">
        <f>+H98-$B$4</f>
        <v>46.89</v>
      </c>
      <c r="I103" s="2">
        <f>+I102</f>
        <v>80</v>
      </c>
      <c r="J103" s="18">
        <f>+(F103-H103)/I103</f>
        <v>6.2500000000000003E-3</v>
      </c>
      <c r="K103" s="2">
        <f>+K102</f>
        <v>1281</v>
      </c>
      <c r="L103" s="14">
        <f>IF(K103&lt;38,K103^0.3686*0.7401,IF(K103&lt;235,K103^0.4193*0.6215,IF(K103&lt;932,K103*0.0092+4.2493,K103*0.0069+6.7345)))</f>
        <v>15.573399999999999</v>
      </c>
      <c r="M103" s="31">
        <f>+L103/1000</f>
        <v>1.5573399999999999E-2</v>
      </c>
      <c r="N103" s="31">
        <f t="shared" si="110"/>
        <v>0.14971750410516779</v>
      </c>
      <c r="O103" s="31">
        <f t="shared" si="235"/>
        <v>5.8943899254003069</v>
      </c>
      <c r="P103" s="57">
        <f t="shared" si="236"/>
        <v>6</v>
      </c>
      <c r="Q103" s="60">
        <f>IF(O103&gt;0,VLOOKUP(P103,'$ alcantarillado'!$I$5:$L$22,4,FALSE),"0")</f>
        <v>0.14499999999999999</v>
      </c>
      <c r="R103" s="60">
        <f t="shared" si="237"/>
        <v>1.4298963858198607E-2</v>
      </c>
      <c r="S103" s="27">
        <f t="shared" si="238"/>
        <v>1.0891278664971706</v>
      </c>
      <c r="T103" s="57">
        <f>+IF(S103&gt;$B$13,VLOOKUP(P103,'$ alcantarillado'!$I$6:$N$22,5),P103)</f>
        <v>8</v>
      </c>
      <c r="U103" s="60">
        <f>IF(O103&gt;0,VLOOKUP(T103,'$ alcantarillado'!$I$5:$L$22,4),"0")</f>
        <v>0.182</v>
      </c>
      <c r="V103" s="60">
        <f t="shared" si="111"/>
        <v>2.6212811057560712E-2</v>
      </c>
      <c r="W103" s="27">
        <f t="shared" si="239"/>
        <v>0.59411407520553094</v>
      </c>
      <c r="X103" s="27">
        <f>IF(T103&gt;0,4*V103/(PI()*(U103)^2),"")</f>
        <v>1.0075832513330949</v>
      </c>
      <c r="Y103" s="60">
        <f>IF(T103&gt;0,(VLOOKUP($W103,Relaciones!$A$4:$D$108,2)),"")</f>
        <v>0.89500000000000002</v>
      </c>
      <c r="Z103" s="27">
        <f>IF(T103&gt;0,Y103*X103,"")</f>
        <v>0.90178700994312</v>
      </c>
      <c r="AA103" s="27">
        <f>IF(T103&gt;0,250*U103*J103,"")</f>
        <v>0.28437499999999999</v>
      </c>
      <c r="AB103" s="45" t="str">
        <f>IF(T103&gt;0,IF(W103&lt;=$B$13,"OK","No Cumple"),"")</f>
        <v>OK</v>
      </c>
      <c r="AC103" s="45" t="str">
        <f>IF(T103&gt;0,IF(Z103&gt;=$B$12,"OK","No Cumple"),"")</f>
        <v>OK</v>
      </c>
      <c r="AD103" s="45" t="str">
        <f>IF(T103&gt;0,IF(AA103&gt;$B$14,"OK","No Cumple"),"")</f>
        <v>OK</v>
      </c>
      <c r="AE103" s="32">
        <f>+IF(AB103="OK",1,0)</f>
        <v>1</v>
      </c>
      <c r="AF103" s="32">
        <f>+IF(AC103="OK",1,0)</f>
        <v>1</v>
      </c>
      <c r="AG103" s="32">
        <f>+IF(AD103="OK",1,0)</f>
        <v>1</v>
      </c>
      <c r="AH103" s="32">
        <f>SUM(AE103:AG103)</f>
        <v>3</v>
      </c>
      <c r="AI103" s="45">
        <f>IF(AH103=3,2*$B$7+U103,0)</f>
        <v>0.68199999999999994</v>
      </c>
      <c r="AJ103" s="21">
        <f>IF(AI103&gt;0,I103*VLOOKUP(T103,'$ alcantarillado'!$I$6:$K$22,3),0)</f>
        <v>2654586.666666667</v>
      </c>
      <c r="AK103" s="61">
        <f t="shared" si="278"/>
        <v>3017931.8400000036</v>
      </c>
      <c r="AL103" s="61">
        <f t="shared" si="279"/>
        <v>1313600.2420000019</v>
      </c>
      <c r="AM103" s="21">
        <f>IF(AJ103&gt;0,AJ103+AK103+AL103,0)</f>
        <v>6986118.748666672</v>
      </c>
      <c r="AN103" s="49">
        <f>IF(AP73&gt;0,+AP73,0)</f>
        <v>0</v>
      </c>
      <c r="AO103" s="77" t="str">
        <f>IF((AM103)&gt;0,IF(AN103&gt;0,AM103+AN103,""),"")</f>
        <v/>
      </c>
      <c r="AP103" s="213">
        <f t="shared" ref="AP103" si="301">+MIN(AO103:AO107)</f>
        <v>0</v>
      </c>
      <c r="AQ103" s="2"/>
      <c r="AR103" s="9"/>
    </row>
    <row r="104" spans="1:44" x14ac:dyDescent="0.25">
      <c r="A104" s="211"/>
      <c r="B104" s="211"/>
      <c r="C104" s="211"/>
      <c r="D104" s="211"/>
      <c r="E104" s="5">
        <v>2</v>
      </c>
      <c r="F104" s="2">
        <f>+H78</f>
        <v>46.89</v>
      </c>
      <c r="G104" s="5">
        <v>2</v>
      </c>
      <c r="H104" s="2">
        <f>+H103</f>
        <v>46.89</v>
      </c>
      <c r="I104" s="2">
        <f>+I103</f>
        <v>80</v>
      </c>
      <c r="J104" s="18">
        <f t="shared" si="281"/>
        <v>0</v>
      </c>
      <c r="K104" s="2">
        <f>+K103</f>
        <v>1281</v>
      </c>
      <c r="L104" s="15">
        <f t="shared" si="282"/>
        <v>15.573399999999999</v>
      </c>
      <c r="M104" s="33">
        <f t="shared" ref="M104:M107" si="302">+L104/1000</f>
        <v>1.5573399999999999E-2</v>
      </c>
      <c r="N104" s="33">
        <f t="shared" si="110"/>
        <v>0</v>
      </c>
      <c r="O104" s="33">
        <f t="shared" si="235"/>
        <v>0</v>
      </c>
      <c r="P104" s="58">
        <f t="shared" si="236"/>
        <v>0</v>
      </c>
      <c r="Q104" s="55" t="str">
        <f>IF(O104&gt;0,VLOOKUP(P104,'$ alcantarillado'!$I$5:$L$22,4,FALSE),"0")</f>
        <v>0</v>
      </c>
      <c r="R104" s="55" t="str">
        <f t="shared" si="237"/>
        <v/>
      </c>
      <c r="S104" s="35">
        <f t="shared" si="238"/>
        <v>0</v>
      </c>
      <c r="T104" s="58">
        <f>+IF(S104&gt;$B$13,VLOOKUP(P104,'$ alcantarillado'!$I$6:$N$22,5),P104)</f>
        <v>0</v>
      </c>
      <c r="U104" s="55" t="str">
        <f>IF(O104&gt;0,VLOOKUP(T104,'$ alcantarillado'!$I$5:$L$22,4),"0")</f>
        <v>0</v>
      </c>
      <c r="V104" s="55" t="str">
        <f t="shared" si="111"/>
        <v/>
      </c>
      <c r="W104" s="35">
        <f t="shared" si="239"/>
        <v>0</v>
      </c>
      <c r="X104" s="35" t="str">
        <f t="shared" ref="X104:X107" si="303">IF(T104&gt;0,4*V104/(PI()*(U104)^2),"")</f>
        <v/>
      </c>
      <c r="Y104" s="55" t="str">
        <f>IF(T104&gt;0,(VLOOKUP($W104,Relaciones!$A$4:$D$108,2)),"")</f>
        <v/>
      </c>
      <c r="Z104" s="35" t="str">
        <f t="shared" ref="Z104:Z107" si="304">IF(T104&gt;0,Y104*X104,"")</f>
        <v/>
      </c>
      <c r="AA104" s="35" t="str">
        <f t="shared" ref="AA104:AA107" si="305">IF(T104&gt;0,250*U104*J104,"")</f>
        <v/>
      </c>
      <c r="AB104" s="46" t="str">
        <f t="shared" ref="AB104:AB107" si="306">IF(T104&gt;0,IF(W104&lt;=$B$13,"OK","No Cumple"),"")</f>
        <v/>
      </c>
      <c r="AC104" s="46" t="str">
        <f t="shared" ref="AC104:AC107" si="307">IF(T104&gt;0,IF(Z104&gt;=$B$12,"OK","No Cumple"),"")</f>
        <v/>
      </c>
      <c r="AD104" s="46" t="str">
        <f t="shared" ref="AD104:AD107" si="308">IF(T104&gt;0,IF(AA104&gt;$B$14,"OK","No Cumple"),"")</f>
        <v/>
      </c>
      <c r="AE104" s="48">
        <f t="shared" ref="AE104:AE107" si="309">+IF(AB104="OK",1,0)</f>
        <v>0</v>
      </c>
      <c r="AF104" s="48">
        <f t="shared" ref="AF104:AF107" si="310">+IF(AC104="OK",1,0)</f>
        <v>0</v>
      </c>
      <c r="AG104" s="48">
        <f t="shared" ref="AG104:AG107" si="311">+IF(AD104="OK",1,0)</f>
        <v>0</v>
      </c>
      <c r="AH104" s="48">
        <f t="shared" ref="AH104:AH107" si="312">SUM(AE104:AG104)</f>
        <v>0</v>
      </c>
      <c r="AI104" s="46">
        <f t="shared" ref="AI104:AI107" si="313">IF(AH104=3,2*$B$7+U104,0)</f>
        <v>0</v>
      </c>
      <c r="AJ104" s="20">
        <f>IF(AI104&gt;0,I104*VLOOKUP(T104,'$ alcantarillado'!$I$6:$K$22,3),0)</f>
        <v>0</v>
      </c>
      <c r="AK104" s="20">
        <f t="shared" si="278"/>
        <v>0</v>
      </c>
      <c r="AL104" s="20">
        <f t="shared" si="279"/>
        <v>0</v>
      </c>
      <c r="AM104" s="20">
        <f t="shared" si="295"/>
        <v>0</v>
      </c>
      <c r="AN104" s="50">
        <f>+AP78</f>
        <v>0</v>
      </c>
      <c r="AO104" s="78" t="str">
        <f t="shared" si="106"/>
        <v/>
      </c>
      <c r="AP104" s="214"/>
      <c r="AQ104" s="2"/>
      <c r="AR104" s="9"/>
    </row>
    <row r="105" spans="1:44" x14ac:dyDescent="0.25">
      <c r="A105" s="211"/>
      <c r="B105" s="211"/>
      <c r="C105" s="211"/>
      <c r="D105" s="211"/>
      <c r="E105" s="56">
        <v>3</v>
      </c>
      <c r="F105" s="2">
        <f>+H83</f>
        <v>46.39</v>
      </c>
      <c r="G105" s="56">
        <v>2</v>
      </c>
      <c r="H105" s="2">
        <f t="shared" ref="H105:H106" si="314">+H104</f>
        <v>46.89</v>
      </c>
      <c r="I105" s="2">
        <f t="shared" ref="I105" si="315">+I104</f>
        <v>80</v>
      </c>
      <c r="J105" s="18">
        <f t="shared" si="281"/>
        <v>-6.2500000000000003E-3</v>
      </c>
      <c r="K105" s="2">
        <f t="shared" ref="K105:K106" si="316">+K104</f>
        <v>1281</v>
      </c>
      <c r="L105" s="15">
        <f t="shared" si="282"/>
        <v>15.573399999999999</v>
      </c>
      <c r="M105" s="33">
        <f t="shared" si="302"/>
        <v>1.5573399999999999E-2</v>
      </c>
      <c r="N105" s="33">
        <f t="shared" si="110"/>
        <v>0</v>
      </c>
      <c r="O105" s="33">
        <f t="shared" si="235"/>
        <v>0</v>
      </c>
      <c r="P105" s="58">
        <f t="shared" si="236"/>
        <v>0</v>
      </c>
      <c r="Q105" s="55" t="str">
        <f>IF(O105&gt;0,VLOOKUP(P105,'$ alcantarillado'!$I$5:$L$22,4,FALSE),"0")</f>
        <v>0</v>
      </c>
      <c r="R105" s="55" t="str">
        <f t="shared" si="237"/>
        <v/>
      </c>
      <c r="S105" s="35">
        <f t="shared" si="238"/>
        <v>0</v>
      </c>
      <c r="T105" s="58">
        <f>+IF(S105&gt;$B$13,VLOOKUP(P105,'$ alcantarillado'!$I$6:$N$22,5),P105)</f>
        <v>0</v>
      </c>
      <c r="U105" s="55" t="str">
        <f>IF(O105&gt;0,VLOOKUP(T105,'$ alcantarillado'!$I$5:$L$22,4),"0")</f>
        <v>0</v>
      </c>
      <c r="V105" s="55" t="str">
        <f t="shared" si="111"/>
        <v/>
      </c>
      <c r="W105" s="35">
        <f t="shared" si="239"/>
        <v>0</v>
      </c>
      <c r="X105" s="35" t="str">
        <f t="shared" si="303"/>
        <v/>
      </c>
      <c r="Y105" s="55" t="str">
        <f>IF(T105&gt;0,(VLOOKUP($W105,Relaciones!$A$4:$D$108,2)),"")</f>
        <v/>
      </c>
      <c r="Z105" s="35" t="str">
        <f t="shared" si="304"/>
        <v/>
      </c>
      <c r="AA105" s="35" t="str">
        <f t="shared" si="305"/>
        <v/>
      </c>
      <c r="AB105" s="46" t="str">
        <f t="shared" si="306"/>
        <v/>
      </c>
      <c r="AC105" s="46" t="str">
        <f t="shared" si="307"/>
        <v/>
      </c>
      <c r="AD105" s="46" t="str">
        <f t="shared" si="308"/>
        <v/>
      </c>
      <c r="AE105" s="48">
        <f t="shared" si="309"/>
        <v>0</v>
      </c>
      <c r="AF105" s="48">
        <f t="shared" si="310"/>
        <v>0</v>
      </c>
      <c r="AG105" s="48">
        <f t="shared" si="311"/>
        <v>0</v>
      </c>
      <c r="AH105" s="48">
        <f t="shared" si="312"/>
        <v>0</v>
      </c>
      <c r="AI105" s="46">
        <f t="shared" si="313"/>
        <v>0</v>
      </c>
      <c r="AJ105" s="20">
        <f>IF(AI105&gt;0,I105*VLOOKUP(T105,'$ alcantarillado'!$I$6:$K$22,3),0)</f>
        <v>0</v>
      </c>
      <c r="AK105" s="20">
        <f t="shared" si="278"/>
        <v>0</v>
      </c>
      <c r="AL105" s="20">
        <f t="shared" si="279"/>
        <v>0</v>
      </c>
      <c r="AM105" s="20">
        <f t="shared" si="295"/>
        <v>0</v>
      </c>
      <c r="AN105" s="50">
        <f>+AP83</f>
        <v>31917970.302666694</v>
      </c>
      <c r="AO105" s="78" t="str">
        <f t="shared" si="106"/>
        <v/>
      </c>
      <c r="AP105" s="215"/>
      <c r="AQ105" s="2"/>
      <c r="AR105" s="9"/>
    </row>
    <row r="106" spans="1:44" x14ac:dyDescent="0.25">
      <c r="A106" s="211"/>
      <c r="B106" s="211"/>
      <c r="C106" s="211"/>
      <c r="D106" s="211"/>
      <c r="E106" s="56">
        <v>4</v>
      </c>
      <c r="F106" s="2">
        <f>+H88</f>
        <v>45.89</v>
      </c>
      <c r="G106" s="56">
        <v>2</v>
      </c>
      <c r="H106" s="2">
        <f t="shared" si="314"/>
        <v>46.89</v>
      </c>
      <c r="I106" s="2">
        <f t="shared" ref="I106" si="317">+I105</f>
        <v>80</v>
      </c>
      <c r="J106" s="18">
        <f>+(F106-H106)/I106</f>
        <v>-1.2500000000000001E-2</v>
      </c>
      <c r="K106" s="2">
        <f t="shared" si="316"/>
        <v>1281</v>
      </c>
      <c r="L106" s="15">
        <f t="shared" si="282"/>
        <v>15.573399999999999</v>
      </c>
      <c r="M106" s="33">
        <f t="shared" si="302"/>
        <v>1.5573399999999999E-2</v>
      </c>
      <c r="N106" s="33">
        <f t="shared" si="110"/>
        <v>0</v>
      </c>
      <c r="O106" s="33">
        <f t="shared" si="235"/>
        <v>0</v>
      </c>
      <c r="P106" s="58">
        <f t="shared" si="236"/>
        <v>0</v>
      </c>
      <c r="Q106" s="55" t="str">
        <f>IF(O106&gt;0,VLOOKUP(P106,'$ alcantarillado'!$I$5:$L$22,4,FALSE),"0")</f>
        <v>0</v>
      </c>
      <c r="R106" s="55" t="str">
        <f t="shared" si="237"/>
        <v/>
      </c>
      <c r="S106" s="35">
        <f t="shared" si="238"/>
        <v>0</v>
      </c>
      <c r="T106" s="58">
        <f>+IF(S106&gt;$B$13,VLOOKUP(P106,'$ alcantarillado'!$I$6:$N$22,5),P106)</f>
        <v>0</v>
      </c>
      <c r="U106" s="55" t="str">
        <f>IF(O106&gt;0,VLOOKUP(T106,'$ alcantarillado'!$I$5:$L$22,4),"0")</f>
        <v>0</v>
      </c>
      <c r="V106" s="55" t="str">
        <f t="shared" si="111"/>
        <v/>
      </c>
      <c r="W106" s="35">
        <f t="shared" si="239"/>
        <v>0</v>
      </c>
      <c r="X106" s="35" t="str">
        <f t="shared" si="303"/>
        <v/>
      </c>
      <c r="Y106" s="55" t="str">
        <f>IF(T106&gt;0,(VLOOKUP($W106,Relaciones!$A$4:$D$108,2)),"")</f>
        <v/>
      </c>
      <c r="Z106" s="35" t="str">
        <f t="shared" si="304"/>
        <v/>
      </c>
      <c r="AA106" s="35" t="str">
        <f t="shared" si="305"/>
        <v/>
      </c>
      <c r="AB106" s="46" t="str">
        <f t="shared" si="306"/>
        <v/>
      </c>
      <c r="AC106" s="46" t="str">
        <f t="shared" si="307"/>
        <v/>
      </c>
      <c r="AD106" s="46" t="str">
        <f t="shared" si="308"/>
        <v/>
      </c>
      <c r="AE106" s="48">
        <f t="shared" si="309"/>
        <v>0</v>
      </c>
      <c r="AF106" s="48">
        <f t="shared" si="310"/>
        <v>0</v>
      </c>
      <c r="AG106" s="48">
        <f t="shared" si="311"/>
        <v>0</v>
      </c>
      <c r="AH106" s="48">
        <f t="shared" si="312"/>
        <v>0</v>
      </c>
      <c r="AI106" s="46">
        <f t="shared" si="313"/>
        <v>0</v>
      </c>
      <c r="AJ106" s="20">
        <f>IF(AI106&gt;0,I106*VLOOKUP(T106,'$ alcantarillado'!$I$6:$K$22,3),0)</f>
        <v>0</v>
      </c>
      <c r="AK106" s="20">
        <f t="shared" si="278"/>
        <v>0</v>
      </c>
      <c r="AL106" s="20">
        <f t="shared" si="279"/>
        <v>0</v>
      </c>
      <c r="AM106" s="20">
        <f t="shared" si="295"/>
        <v>0</v>
      </c>
      <c r="AN106" s="50">
        <f>+AP88</f>
        <v>31126693.832333364</v>
      </c>
      <c r="AO106" s="78" t="str">
        <f t="shared" si="106"/>
        <v/>
      </c>
      <c r="AP106" s="215"/>
      <c r="AQ106" s="2"/>
      <c r="AR106" s="9"/>
    </row>
    <row r="107" spans="1:44" ht="15.75" thickBot="1" x14ac:dyDescent="0.3">
      <c r="A107" s="211"/>
      <c r="B107" s="211"/>
      <c r="C107" s="211"/>
      <c r="D107" s="211"/>
      <c r="E107" s="6">
        <v>5</v>
      </c>
      <c r="F107" s="16">
        <f>+H93</f>
        <v>45.39</v>
      </c>
      <c r="G107" s="6">
        <v>2</v>
      </c>
      <c r="H107" s="10">
        <f>+H106</f>
        <v>46.89</v>
      </c>
      <c r="I107" s="10">
        <f>+I106</f>
        <v>80</v>
      </c>
      <c r="J107" s="19">
        <f t="shared" si="281"/>
        <v>-1.8749999999999999E-2</v>
      </c>
      <c r="K107" s="10">
        <f>+K106</f>
        <v>1281</v>
      </c>
      <c r="L107" s="16">
        <f t="shared" si="282"/>
        <v>15.573399999999999</v>
      </c>
      <c r="M107" s="34">
        <f t="shared" si="302"/>
        <v>1.5573399999999999E-2</v>
      </c>
      <c r="N107" s="34">
        <f t="shared" si="110"/>
        <v>0</v>
      </c>
      <c r="O107" s="34">
        <f t="shared" si="235"/>
        <v>0</v>
      </c>
      <c r="P107" s="59">
        <f t="shared" si="236"/>
        <v>0</v>
      </c>
      <c r="Q107" s="55" t="str">
        <f>IF(O107&gt;0,VLOOKUP(P107,'$ alcantarillado'!$I$5:$L$22,4,FALSE),"0")</f>
        <v>0</v>
      </c>
      <c r="R107" s="47" t="str">
        <f t="shared" si="237"/>
        <v/>
      </c>
      <c r="S107" s="35">
        <f t="shared" si="238"/>
        <v>0</v>
      </c>
      <c r="T107" s="58">
        <f>+IF(S107&gt;$B$13,VLOOKUP(P107,'$ alcantarillado'!$I$6:$N$22,5),P107)</f>
        <v>0</v>
      </c>
      <c r="U107" s="55" t="str">
        <f>IF(O107&gt;0,VLOOKUP(T107,'$ alcantarillado'!$I$5:$L$22,4),"0")</f>
        <v>0</v>
      </c>
      <c r="V107" s="55" t="str">
        <f t="shared" si="111"/>
        <v/>
      </c>
      <c r="W107" s="35">
        <f t="shared" si="239"/>
        <v>0</v>
      </c>
      <c r="X107" s="35" t="str">
        <f t="shared" si="303"/>
        <v/>
      </c>
      <c r="Y107" s="55" t="str">
        <f>IF(T107&gt;0,(VLOOKUP($W107,Relaciones!$A$4:$D$108,2)),"")</f>
        <v/>
      </c>
      <c r="Z107" s="35" t="str">
        <f t="shared" si="304"/>
        <v/>
      </c>
      <c r="AA107" s="35" t="str">
        <f t="shared" si="305"/>
        <v/>
      </c>
      <c r="AB107" s="46" t="str">
        <f t="shared" si="306"/>
        <v/>
      </c>
      <c r="AC107" s="46" t="str">
        <f t="shared" si="307"/>
        <v/>
      </c>
      <c r="AD107" s="46" t="str">
        <f t="shared" si="308"/>
        <v/>
      </c>
      <c r="AE107" s="48">
        <f t="shared" si="309"/>
        <v>0</v>
      </c>
      <c r="AF107" s="48">
        <f t="shared" si="310"/>
        <v>0</v>
      </c>
      <c r="AG107" s="48">
        <f t="shared" si="311"/>
        <v>0</v>
      </c>
      <c r="AH107" s="48">
        <f t="shared" si="312"/>
        <v>0</v>
      </c>
      <c r="AI107" s="46">
        <f t="shared" si="313"/>
        <v>0</v>
      </c>
      <c r="AJ107" s="22">
        <f>IF(AI107&gt;0,I107*VLOOKUP(T107,'$ alcantarillado'!$I$6:$K$22,3),0)</f>
        <v>0</v>
      </c>
      <c r="AK107" s="20">
        <f t="shared" si="278"/>
        <v>0</v>
      </c>
      <c r="AL107" s="20">
        <f t="shared" si="279"/>
        <v>0</v>
      </c>
      <c r="AM107" s="22">
        <f t="shared" si="295"/>
        <v>0</v>
      </c>
      <c r="AN107" s="51">
        <f>+AP93</f>
        <v>31358893.832333364</v>
      </c>
      <c r="AO107" s="79" t="str">
        <f t="shared" si="106"/>
        <v/>
      </c>
      <c r="AP107" s="216"/>
      <c r="AQ107" s="10"/>
      <c r="AR107" s="11"/>
    </row>
    <row r="108" spans="1:44" x14ac:dyDescent="0.25">
      <c r="A108" s="211"/>
      <c r="B108" s="211"/>
      <c r="C108" s="211"/>
      <c r="D108" s="211"/>
      <c r="E108" s="4">
        <v>1</v>
      </c>
      <c r="F108" s="7">
        <f>+H73</f>
        <v>47.39</v>
      </c>
      <c r="G108" s="4">
        <v>3</v>
      </c>
      <c r="H108" s="7">
        <f>+H103-$B$4</f>
        <v>46.39</v>
      </c>
      <c r="I108" s="7">
        <f t="shared" ref="I108" si="318">+I107</f>
        <v>80</v>
      </c>
      <c r="J108" s="18">
        <f>+(F108-H108)/I108</f>
        <v>1.2500000000000001E-2</v>
      </c>
      <c r="K108" s="7">
        <f t="shared" ref="K108" si="319">+K107</f>
        <v>1281</v>
      </c>
      <c r="L108" s="14">
        <f>IF(K108&lt;38,K108^0.3686*0.7401,IF(K108&lt;235,K108^0.4193*0.6215,IF(K108&lt;932,K108*0.0092+4.2493,K108*0.0069+6.7345)))</f>
        <v>15.573399999999999</v>
      </c>
      <c r="M108" s="31">
        <f>+L108/1000</f>
        <v>1.5573399999999999E-2</v>
      </c>
      <c r="N108" s="31">
        <f t="shared" si="110"/>
        <v>0.13147084501519965</v>
      </c>
      <c r="O108" s="31">
        <f t="shared" si="235"/>
        <v>5.1760175202834509</v>
      </c>
      <c r="P108" s="57">
        <f t="shared" si="236"/>
        <v>6</v>
      </c>
      <c r="Q108" s="60">
        <f>IF(O108&gt;0,VLOOKUP(P108,'$ alcantarillado'!$I$5:$L$22,4,FALSE),"0")</f>
        <v>0.14499999999999999</v>
      </c>
      <c r="R108" s="60">
        <f t="shared" si="237"/>
        <v>2.0221788616147186E-2</v>
      </c>
      <c r="S108" s="27">
        <f t="shared" si="238"/>
        <v>0.77012969997938618</v>
      </c>
      <c r="T108" s="57">
        <f>+IF(S108&gt;$B$13,VLOOKUP(P108,'$ alcantarillado'!$I$6:$N$22,5),P108)</f>
        <v>6</v>
      </c>
      <c r="U108" s="60">
        <f>IF(O108&gt;0,VLOOKUP(T108,'$ alcantarillado'!$I$5:$L$22,4),"0")</f>
        <v>0.14499999999999999</v>
      </c>
      <c r="V108" s="60">
        <f t="shared" si="111"/>
        <v>2.0221788616147186E-2</v>
      </c>
      <c r="W108" s="27">
        <f t="shared" si="239"/>
        <v>0.77012969997938618</v>
      </c>
      <c r="X108" s="27">
        <f>IF(T108&gt;0,4*V108/(PI()*(U108)^2),"")</f>
        <v>1.2245983796125537</v>
      </c>
      <c r="Y108" s="60">
        <f>IF(T108&gt;0,(VLOOKUP($W108,Relaciones!$A$4:$D$108,2)),"")</f>
        <v>0.97199999999999998</v>
      </c>
      <c r="Z108" s="27">
        <f>IF(T108&gt;0,Y108*X108,"")</f>
        <v>1.1903096249834022</v>
      </c>
      <c r="AA108" s="27">
        <f>IF(T108&gt;0,250*U108*J108,"")</f>
        <v>0.453125</v>
      </c>
      <c r="AB108" s="45" t="str">
        <f>IF(T108&gt;0,IF(W108&lt;=$B$13,"OK","No Cumple"),"")</f>
        <v>OK</v>
      </c>
      <c r="AC108" s="45" t="str">
        <f>IF(T108&gt;0,IF(Z108&gt;=$B$12,"OK","No Cumple"),"")</f>
        <v>OK</v>
      </c>
      <c r="AD108" s="45" t="str">
        <f>IF(T108&gt;0,IF(AA108&gt;$B$14,"OK","No Cumple"),"")</f>
        <v>OK</v>
      </c>
      <c r="AE108" s="32">
        <f>+IF(AB108="OK",1,0)</f>
        <v>1</v>
      </c>
      <c r="AF108" s="32">
        <f>+IF(AC108="OK",1,0)</f>
        <v>1</v>
      </c>
      <c r="AG108" s="32">
        <f>+IF(AD108="OK",1,0)</f>
        <v>1</v>
      </c>
      <c r="AH108" s="32">
        <f>SUM(AE108:AG108)</f>
        <v>3</v>
      </c>
      <c r="AI108" s="45">
        <f>IF(AH108=3,2*$B$7+U108,0)</f>
        <v>0.64500000000000002</v>
      </c>
      <c r="AJ108" s="21">
        <f>IF(AI108&gt;0,I108*VLOOKUP(T108,'$ alcantarillado'!$I$6:$K$22,3),0)</f>
        <v>1912173.3333333335</v>
      </c>
      <c r="AK108" s="61">
        <f t="shared" si="278"/>
        <v>3034854.0000000042</v>
      </c>
      <c r="AL108" s="61">
        <f t="shared" si="279"/>
        <v>1287774.9450000019</v>
      </c>
      <c r="AM108" s="21">
        <f>IF(AJ108&gt;0,AJ108+AK108+AL108,0)</f>
        <v>6234802.2783333398</v>
      </c>
      <c r="AN108" s="49">
        <f>IF(AP73&gt;0,+AP73,0)</f>
        <v>0</v>
      </c>
      <c r="AO108" s="77" t="str">
        <f>IF((AM108)&gt;0,IF(AN108&gt;0,AM108+AN108,""),"")</f>
        <v/>
      </c>
      <c r="AP108" s="213">
        <f t="shared" ref="AP108" si="320">+MIN(AO108:AO112)</f>
        <v>0</v>
      </c>
      <c r="AQ108" s="7"/>
      <c r="AR108" s="8"/>
    </row>
    <row r="109" spans="1:44" x14ac:dyDescent="0.25">
      <c r="A109" s="211"/>
      <c r="B109" s="211"/>
      <c r="C109" s="211"/>
      <c r="D109" s="211"/>
      <c r="E109" s="5">
        <v>2</v>
      </c>
      <c r="F109" s="2">
        <f>+H78</f>
        <v>46.89</v>
      </c>
      <c r="G109" s="5">
        <v>3</v>
      </c>
      <c r="H109" s="2">
        <f>+H108</f>
        <v>46.39</v>
      </c>
      <c r="I109" s="2">
        <f>+I108</f>
        <v>80</v>
      </c>
      <c r="J109" s="18">
        <f t="shared" si="281"/>
        <v>6.2500000000000003E-3</v>
      </c>
      <c r="K109" s="2">
        <f>+K108</f>
        <v>1281</v>
      </c>
      <c r="L109" s="15">
        <f t="shared" si="282"/>
        <v>15.573399999999999</v>
      </c>
      <c r="M109" s="33">
        <f t="shared" ref="M109:M112" si="321">+L109/1000</f>
        <v>1.5573399999999999E-2</v>
      </c>
      <c r="N109" s="33">
        <f t="shared" si="110"/>
        <v>0.14971750410516779</v>
      </c>
      <c r="O109" s="33">
        <f t="shared" si="235"/>
        <v>5.8943899254003069</v>
      </c>
      <c r="P109" s="58">
        <f t="shared" si="236"/>
        <v>6</v>
      </c>
      <c r="Q109" s="55">
        <f>IF(O109&gt;0,VLOOKUP(P109,'$ alcantarillado'!$I$5:$L$22,4,FALSE),"0")</f>
        <v>0.14499999999999999</v>
      </c>
      <c r="R109" s="55">
        <f t="shared" si="237"/>
        <v>1.4298963858198607E-2</v>
      </c>
      <c r="S109" s="35">
        <f t="shared" si="238"/>
        <v>1.0891278664971706</v>
      </c>
      <c r="T109" s="58">
        <f>+IF(S109&gt;$B$13,VLOOKUP(P109,'$ alcantarillado'!$I$6:$N$22,5),P109)</f>
        <v>8</v>
      </c>
      <c r="U109" s="55">
        <f>IF(O109&gt;0,VLOOKUP(T109,'$ alcantarillado'!$I$5:$L$22,4),"0")</f>
        <v>0.182</v>
      </c>
      <c r="V109" s="55">
        <f t="shared" si="111"/>
        <v>2.6212811057560712E-2</v>
      </c>
      <c r="W109" s="35">
        <f t="shared" si="239"/>
        <v>0.59411407520553094</v>
      </c>
      <c r="X109" s="35">
        <f t="shared" ref="X109:X112" si="322">IF(T109&gt;0,4*V109/(PI()*(U109)^2),"")</f>
        <v>1.0075832513330949</v>
      </c>
      <c r="Y109" s="55">
        <f>IF(T109&gt;0,(VLOOKUP($W109,Relaciones!$A$4:$D$108,2)),"")</f>
        <v>0.89500000000000002</v>
      </c>
      <c r="Z109" s="35">
        <f t="shared" ref="Z109:Z112" si="323">IF(T109&gt;0,Y109*X109,"")</f>
        <v>0.90178700994312</v>
      </c>
      <c r="AA109" s="35">
        <f t="shared" ref="AA109:AA112" si="324">IF(T109&gt;0,250*U109*J109,"")</f>
        <v>0.28437499999999999</v>
      </c>
      <c r="AB109" s="46" t="str">
        <f t="shared" ref="AB109:AB112" si="325">IF(T109&gt;0,IF(W109&lt;=$B$13,"OK","No Cumple"),"")</f>
        <v>OK</v>
      </c>
      <c r="AC109" s="46" t="str">
        <f t="shared" ref="AC109:AC112" si="326">IF(T109&gt;0,IF(Z109&gt;=$B$12,"OK","No Cumple"),"")</f>
        <v>OK</v>
      </c>
      <c r="AD109" s="46" t="str">
        <f t="shared" ref="AD109:AD112" si="327">IF(T109&gt;0,IF(AA109&gt;$B$14,"OK","No Cumple"),"")</f>
        <v>OK</v>
      </c>
      <c r="AE109" s="48">
        <f t="shared" ref="AE109:AE112" si="328">+IF(AB109="OK",1,0)</f>
        <v>1</v>
      </c>
      <c r="AF109" s="48">
        <f t="shared" ref="AF109:AF112" si="329">+IF(AC109="OK",1,0)</f>
        <v>1</v>
      </c>
      <c r="AG109" s="48">
        <f t="shared" ref="AG109:AG112" si="330">+IF(AD109="OK",1,0)</f>
        <v>1</v>
      </c>
      <c r="AH109" s="48">
        <f t="shared" ref="AH109:AH112" si="331">SUM(AE109:AG109)</f>
        <v>3</v>
      </c>
      <c r="AI109" s="46">
        <f t="shared" ref="AI109:AI112" si="332">IF(AH109=3,2*$B$7+U109,0)</f>
        <v>0.68199999999999994</v>
      </c>
      <c r="AJ109" s="20">
        <f>IF(AI109&gt;0,I109*VLOOKUP(T109,'$ alcantarillado'!$I$6:$K$22,3),0)</f>
        <v>2654586.666666667</v>
      </c>
      <c r="AK109" s="20">
        <f t="shared" si="278"/>
        <v>3754491.8400000036</v>
      </c>
      <c r="AL109" s="20">
        <f t="shared" si="279"/>
        <v>1662590.7420000019</v>
      </c>
      <c r="AM109" s="20">
        <f t="shared" si="295"/>
        <v>8071669.248666672</v>
      </c>
      <c r="AN109" s="50">
        <f>+AP78</f>
        <v>0</v>
      </c>
      <c r="AO109" s="78" t="str">
        <f t="shared" si="106"/>
        <v/>
      </c>
      <c r="AP109" s="214"/>
      <c r="AQ109" s="2"/>
      <c r="AR109" s="9"/>
    </row>
    <row r="110" spans="1:44" x14ac:dyDescent="0.25">
      <c r="A110" s="211"/>
      <c r="B110" s="211"/>
      <c r="C110" s="211"/>
      <c r="D110" s="211"/>
      <c r="E110" s="56">
        <v>3</v>
      </c>
      <c r="F110" s="2">
        <f>+H83</f>
        <v>46.39</v>
      </c>
      <c r="G110" s="56">
        <v>3</v>
      </c>
      <c r="H110" s="2">
        <f t="shared" ref="H110:H111" si="333">+H109</f>
        <v>46.39</v>
      </c>
      <c r="I110" s="2">
        <f t="shared" ref="I110" si="334">+I109</f>
        <v>80</v>
      </c>
      <c r="J110" s="18">
        <f t="shared" si="281"/>
        <v>0</v>
      </c>
      <c r="K110" s="2">
        <f t="shared" ref="K110:K111" si="335">+K109</f>
        <v>1281</v>
      </c>
      <c r="L110" s="15">
        <f t="shared" si="282"/>
        <v>15.573399999999999</v>
      </c>
      <c r="M110" s="33">
        <f t="shared" si="321"/>
        <v>1.5573399999999999E-2</v>
      </c>
      <c r="N110" s="33">
        <f t="shared" si="110"/>
        <v>0</v>
      </c>
      <c r="O110" s="33">
        <f t="shared" si="235"/>
        <v>0</v>
      </c>
      <c r="P110" s="58">
        <f t="shared" si="236"/>
        <v>0</v>
      </c>
      <c r="Q110" s="55" t="str">
        <f>IF(O110&gt;0,VLOOKUP(P110,'$ alcantarillado'!$I$5:$L$22,4,FALSE),"0")</f>
        <v>0</v>
      </c>
      <c r="R110" s="55" t="str">
        <f t="shared" si="237"/>
        <v/>
      </c>
      <c r="S110" s="35">
        <f t="shared" si="238"/>
        <v>0</v>
      </c>
      <c r="T110" s="58">
        <f>+IF(S110&gt;$B$13,VLOOKUP(P110,'$ alcantarillado'!$I$6:$N$22,5),P110)</f>
        <v>0</v>
      </c>
      <c r="U110" s="55" t="str">
        <f>IF(O110&gt;0,VLOOKUP(T110,'$ alcantarillado'!$I$5:$L$22,4),"0")</f>
        <v>0</v>
      </c>
      <c r="V110" s="55" t="str">
        <f t="shared" si="111"/>
        <v/>
      </c>
      <c r="W110" s="35">
        <f t="shared" si="239"/>
        <v>0</v>
      </c>
      <c r="X110" s="35" t="str">
        <f t="shared" si="322"/>
        <v/>
      </c>
      <c r="Y110" s="55" t="str">
        <f>IF(T110&gt;0,(VLOOKUP($W110,Relaciones!$A$4:$D$108,2)),"")</f>
        <v/>
      </c>
      <c r="Z110" s="35" t="str">
        <f t="shared" si="323"/>
        <v/>
      </c>
      <c r="AA110" s="35" t="str">
        <f t="shared" si="324"/>
        <v/>
      </c>
      <c r="AB110" s="46" t="str">
        <f t="shared" si="325"/>
        <v/>
      </c>
      <c r="AC110" s="46" t="str">
        <f t="shared" si="326"/>
        <v/>
      </c>
      <c r="AD110" s="46" t="str">
        <f t="shared" si="327"/>
        <v/>
      </c>
      <c r="AE110" s="48">
        <f t="shared" si="328"/>
        <v>0</v>
      </c>
      <c r="AF110" s="48">
        <f t="shared" si="329"/>
        <v>0</v>
      </c>
      <c r="AG110" s="48">
        <f t="shared" si="330"/>
        <v>0</v>
      </c>
      <c r="AH110" s="48">
        <f t="shared" si="331"/>
        <v>0</v>
      </c>
      <c r="AI110" s="46">
        <f t="shared" si="332"/>
        <v>0</v>
      </c>
      <c r="AJ110" s="20">
        <f>IF(AI110&gt;0,I110*VLOOKUP(T110,'$ alcantarillado'!$I$6:$K$22,3),0)</f>
        <v>0</v>
      </c>
      <c r="AK110" s="20">
        <f t="shared" si="278"/>
        <v>0</v>
      </c>
      <c r="AL110" s="20">
        <f t="shared" si="279"/>
        <v>0</v>
      </c>
      <c r="AM110" s="20">
        <f t="shared" si="295"/>
        <v>0</v>
      </c>
      <c r="AN110" s="50">
        <f>+AP83</f>
        <v>31917970.302666694</v>
      </c>
      <c r="AO110" s="78" t="str">
        <f t="shared" si="106"/>
        <v/>
      </c>
      <c r="AP110" s="215"/>
      <c r="AQ110" s="2"/>
      <c r="AR110" s="9"/>
    </row>
    <row r="111" spans="1:44" x14ac:dyDescent="0.25">
      <c r="A111" s="211"/>
      <c r="B111" s="211"/>
      <c r="C111" s="211"/>
      <c r="D111" s="211"/>
      <c r="E111" s="56">
        <v>4</v>
      </c>
      <c r="F111" s="2">
        <f>+H88</f>
        <v>45.89</v>
      </c>
      <c r="G111" s="56">
        <v>3</v>
      </c>
      <c r="H111" s="2">
        <f t="shared" si="333"/>
        <v>46.39</v>
      </c>
      <c r="I111" s="2">
        <f t="shared" ref="I111" si="336">+I110</f>
        <v>80</v>
      </c>
      <c r="J111" s="18">
        <f>+(F111-H111)/I111</f>
        <v>-6.2500000000000003E-3</v>
      </c>
      <c r="K111" s="2">
        <f t="shared" si="335"/>
        <v>1281</v>
      </c>
      <c r="L111" s="15">
        <f t="shared" si="282"/>
        <v>15.573399999999999</v>
      </c>
      <c r="M111" s="33">
        <f t="shared" si="321"/>
        <v>1.5573399999999999E-2</v>
      </c>
      <c r="N111" s="33">
        <f t="shared" si="110"/>
        <v>0</v>
      </c>
      <c r="O111" s="33">
        <f t="shared" si="235"/>
        <v>0</v>
      </c>
      <c r="P111" s="58">
        <f t="shared" si="236"/>
        <v>0</v>
      </c>
      <c r="Q111" s="55" t="str">
        <f>IF(O111&gt;0,VLOOKUP(P111,'$ alcantarillado'!$I$5:$L$22,4,FALSE),"0")</f>
        <v>0</v>
      </c>
      <c r="R111" s="55" t="str">
        <f t="shared" si="237"/>
        <v/>
      </c>
      <c r="S111" s="35">
        <f t="shared" si="238"/>
        <v>0</v>
      </c>
      <c r="T111" s="58">
        <f>+IF(S111&gt;$B$13,VLOOKUP(P111,'$ alcantarillado'!$I$6:$N$22,5),P111)</f>
        <v>0</v>
      </c>
      <c r="U111" s="55" t="str">
        <f>IF(O111&gt;0,VLOOKUP(T111,'$ alcantarillado'!$I$5:$L$22,4),"0")</f>
        <v>0</v>
      </c>
      <c r="V111" s="55" t="str">
        <f t="shared" si="111"/>
        <v/>
      </c>
      <c r="W111" s="35">
        <f t="shared" si="239"/>
        <v>0</v>
      </c>
      <c r="X111" s="35" t="str">
        <f t="shared" si="322"/>
        <v/>
      </c>
      <c r="Y111" s="55" t="str">
        <f>IF(T111&gt;0,(VLOOKUP($W111,Relaciones!$A$4:$D$108,2)),"")</f>
        <v/>
      </c>
      <c r="Z111" s="35" t="str">
        <f t="shared" si="323"/>
        <v/>
      </c>
      <c r="AA111" s="35" t="str">
        <f t="shared" si="324"/>
        <v/>
      </c>
      <c r="AB111" s="46" t="str">
        <f t="shared" si="325"/>
        <v/>
      </c>
      <c r="AC111" s="46" t="str">
        <f t="shared" si="326"/>
        <v/>
      </c>
      <c r="AD111" s="46" t="str">
        <f t="shared" si="327"/>
        <v/>
      </c>
      <c r="AE111" s="48">
        <f t="shared" si="328"/>
        <v>0</v>
      </c>
      <c r="AF111" s="48">
        <f t="shared" si="329"/>
        <v>0</v>
      </c>
      <c r="AG111" s="48">
        <f t="shared" si="330"/>
        <v>0</v>
      </c>
      <c r="AH111" s="48">
        <f t="shared" si="331"/>
        <v>0</v>
      </c>
      <c r="AI111" s="46">
        <f t="shared" si="332"/>
        <v>0</v>
      </c>
      <c r="AJ111" s="20">
        <f>IF(AI111&gt;0,I111*VLOOKUP(T111,'$ alcantarillado'!$I$6:$K$22,3),0)</f>
        <v>0</v>
      </c>
      <c r="AK111" s="20">
        <f t="shared" si="278"/>
        <v>0</v>
      </c>
      <c r="AL111" s="20">
        <f t="shared" si="279"/>
        <v>0</v>
      </c>
      <c r="AM111" s="20">
        <f t="shared" si="295"/>
        <v>0</v>
      </c>
      <c r="AN111" s="50">
        <f>+AP88</f>
        <v>31126693.832333364</v>
      </c>
      <c r="AO111" s="78" t="str">
        <f t="shared" si="106"/>
        <v/>
      </c>
      <c r="AP111" s="215"/>
      <c r="AQ111" s="2"/>
      <c r="AR111" s="9"/>
    </row>
    <row r="112" spans="1:44" ht="15.75" thickBot="1" x14ac:dyDescent="0.3">
      <c r="A112" s="211"/>
      <c r="B112" s="211"/>
      <c r="C112" s="211"/>
      <c r="D112" s="211"/>
      <c r="E112" s="6">
        <v>5</v>
      </c>
      <c r="F112" s="16">
        <f>+H93</f>
        <v>45.39</v>
      </c>
      <c r="G112" s="6">
        <v>3</v>
      </c>
      <c r="H112" s="10">
        <f>+H111</f>
        <v>46.39</v>
      </c>
      <c r="I112" s="10">
        <f>+I111</f>
        <v>80</v>
      </c>
      <c r="J112" s="19">
        <f t="shared" si="281"/>
        <v>-1.2500000000000001E-2</v>
      </c>
      <c r="K112" s="10">
        <f>+K111</f>
        <v>1281</v>
      </c>
      <c r="L112" s="16">
        <f t="shared" si="282"/>
        <v>15.573399999999999</v>
      </c>
      <c r="M112" s="34">
        <f t="shared" si="321"/>
        <v>1.5573399999999999E-2</v>
      </c>
      <c r="N112" s="34">
        <f t="shared" si="110"/>
        <v>0</v>
      </c>
      <c r="O112" s="34">
        <f t="shared" si="235"/>
        <v>0</v>
      </c>
      <c r="P112" s="59">
        <f t="shared" si="236"/>
        <v>0</v>
      </c>
      <c r="Q112" s="55" t="str">
        <f>IF(O112&gt;0,VLOOKUP(P112,'$ alcantarillado'!$I$5:$L$22,4,FALSE),"0")</f>
        <v>0</v>
      </c>
      <c r="R112" s="47" t="str">
        <f t="shared" si="237"/>
        <v/>
      </c>
      <c r="S112" s="35">
        <f t="shared" si="238"/>
        <v>0</v>
      </c>
      <c r="T112" s="58">
        <f>+IF(S112&gt;$B$13,VLOOKUP(P112,'$ alcantarillado'!$I$6:$N$22,5),P112)</f>
        <v>0</v>
      </c>
      <c r="U112" s="55" t="str">
        <f>IF(O112&gt;0,VLOOKUP(T112,'$ alcantarillado'!$I$5:$L$22,4),"0")</f>
        <v>0</v>
      </c>
      <c r="V112" s="55" t="str">
        <f t="shared" si="111"/>
        <v/>
      </c>
      <c r="W112" s="35">
        <f t="shared" si="239"/>
        <v>0</v>
      </c>
      <c r="X112" s="35" t="str">
        <f t="shared" si="322"/>
        <v/>
      </c>
      <c r="Y112" s="55" t="str">
        <f>IF(T112&gt;0,(VLOOKUP($W112,Relaciones!$A$4:$D$108,2)),"")</f>
        <v/>
      </c>
      <c r="Z112" s="35" t="str">
        <f t="shared" si="323"/>
        <v/>
      </c>
      <c r="AA112" s="35" t="str">
        <f t="shared" si="324"/>
        <v/>
      </c>
      <c r="AB112" s="46" t="str">
        <f t="shared" si="325"/>
        <v/>
      </c>
      <c r="AC112" s="46" t="str">
        <f t="shared" si="326"/>
        <v/>
      </c>
      <c r="AD112" s="46" t="str">
        <f t="shared" si="327"/>
        <v/>
      </c>
      <c r="AE112" s="48">
        <f t="shared" si="328"/>
        <v>0</v>
      </c>
      <c r="AF112" s="48">
        <f t="shared" si="329"/>
        <v>0</v>
      </c>
      <c r="AG112" s="48">
        <f t="shared" si="330"/>
        <v>0</v>
      </c>
      <c r="AH112" s="48">
        <f t="shared" si="331"/>
        <v>0</v>
      </c>
      <c r="AI112" s="46">
        <f t="shared" si="332"/>
        <v>0</v>
      </c>
      <c r="AJ112" s="22">
        <f>IF(AI112&gt;0,I112*VLOOKUP(T112,'$ alcantarillado'!$I$6:$K$22,3),0)</f>
        <v>0</v>
      </c>
      <c r="AK112" s="20">
        <f t="shared" si="278"/>
        <v>0</v>
      </c>
      <c r="AL112" s="20">
        <f t="shared" si="279"/>
        <v>0</v>
      </c>
      <c r="AM112" s="22">
        <f t="shared" si="295"/>
        <v>0</v>
      </c>
      <c r="AN112" s="51">
        <f>+AP93</f>
        <v>31358893.832333364</v>
      </c>
      <c r="AO112" s="79" t="str">
        <f t="shared" si="106"/>
        <v/>
      </c>
      <c r="AP112" s="216"/>
      <c r="AQ112" s="10"/>
      <c r="AR112" s="11"/>
    </row>
    <row r="113" spans="1:44" x14ac:dyDescent="0.25">
      <c r="A113" s="211"/>
      <c r="B113" s="211"/>
      <c r="C113" s="211"/>
      <c r="D113" s="211"/>
      <c r="E113" s="4">
        <v>1</v>
      </c>
      <c r="F113" s="7">
        <f>+H73</f>
        <v>47.39</v>
      </c>
      <c r="G113" s="4">
        <v>4</v>
      </c>
      <c r="H113" s="7">
        <f>+H108-$B$4</f>
        <v>45.89</v>
      </c>
      <c r="I113" s="12">
        <f>+I108</f>
        <v>80</v>
      </c>
      <c r="J113" s="18">
        <f>+(F113-H113)/I113</f>
        <v>1.8749999999999999E-2</v>
      </c>
      <c r="K113" s="12">
        <f>+K108</f>
        <v>1281</v>
      </c>
      <c r="L113" s="14">
        <f>IF(K113&lt;38,K113^0.3686*0.7401,IF(K113&lt;235,K113^0.4193*0.6215,IF(K113&lt;932,K113*0.0092+4.2493,K113*0.0069+6.7345)))</f>
        <v>15.573399999999999</v>
      </c>
      <c r="M113" s="31">
        <f>+L113/1000</f>
        <v>1.5573399999999999E-2</v>
      </c>
      <c r="N113" s="31">
        <f t="shared" si="110"/>
        <v>0.12184629926257974</v>
      </c>
      <c r="O113" s="31">
        <f t="shared" si="235"/>
        <v>4.7970983961645572</v>
      </c>
      <c r="P113" s="57">
        <f t="shared" si="236"/>
        <v>6</v>
      </c>
      <c r="Q113" s="60">
        <f>IF(O113&gt;0,VLOOKUP(P113,'$ alcantarillado'!$I$5:$L$22,4,FALSE),"0")</f>
        <v>0.14499999999999999</v>
      </c>
      <c r="R113" s="60">
        <f t="shared" si="237"/>
        <v>2.4766531897991089E-2</v>
      </c>
      <c r="S113" s="27">
        <f t="shared" si="238"/>
        <v>0.62880826690406411</v>
      </c>
      <c r="T113" s="57">
        <f>+IF(S113&gt;$B$13,VLOOKUP(P113,'$ alcantarillado'!$I$6:$N$22,5),P113)</f>
        <v>6</v>
      </c>
      <c r="U113" s="60">
        <f>IF(O113&gt;0,VLOOKUP(T113,'$ alcantarillado'!$I$5:$L$22,4),"0")</f>
        <v>0.14499999999999999</v>
      </c>
      <c r="V113" s="60">
        <f t="shared" si="111"/>
        <v>2.4766531897991089E-2</v>
      </c>
      <c r="W113" s="27">
        <f t="shared" si="239"/>
        <v>0.62880826690406411</v>
      </c>
      <c r="X113" s="27">
        <f>IF(T113&gt;0,4*V113/(PI()*(U113)^2),"")</f>
        <v>1.4998205849449258</v>
      </c>
      <c r="Y113" s="60">
        <f>IF(T113&gt;0,(VLOOKUP($W113,Relaciones!$A$4:$D$108,2)),"")</f>
        <v>0.90800000000000003</v>
      </c>
      <c r="Z113" s="27">
        <f>IF(T113&gt;0,Y113*X113,"")</f>
        <v>1.3618370911299926</v>
      </c>
      <c r="AA113" s="27">
        <f>IF(T113&gt;0,250*U113*J113,"")</f>
        <v>0.6796875</v>
      </c>
      <c r="AB113" s="45" t="str">
        <f>IF(T113&gt;0,IF(W113&lt;=$B$13,"OK","No Cumple"),"")</f>
        <v>OK</v>
      </c>
      <c r="AC113" s="45" t="str">
        <f>IF(T113&gt;0,IF(Z113&gt;=$B$12,"OK","No Cumple"),"")</f>
        <v>OK</v>
      </c>
      <c r="AD113" s="45" t="str">
        <f>IF(T113&gt;0,IF(AA113&gt;$B$14,"OK","No Cumple"),"")</f>
        <v>OK</v>
      </c>
      <c r="AE113" s="32">
        <f>+IF(AB113="OK",1,0)</f>
        <v>1</v>
      </c>
      <c r="AF113" s="32">
        <f>+IF(AC113="OK",1,0)</f>
        <v>1</v>
      </c>
      <c r="AG113" s="32">
        <f>+IF(AD113="OK",1,0)</f>
        <v>1</v>
      </c>
      <c r="AH113" s="32">
        <f>SUM(AE113:AG113)</f>
        <v>3</v>
      </c>
      <c r="AI113" s="45">
        <f>IF(AH113=3,2*$B$7+U113,0)</f>
        <v>0.64500000000000002</v>
      </c>
      <c r="AJ113" s="21">
        <f>IF(AI113&gt;0,I113*VLOOKUP(T113,'$ alcantarillado'!$I$6:$K$22,3),0)</f>
        <v>1912173.3333333335</v>
      </c>
      <c r="AK113" s="61">
        <f t="shared" si="278"/>
        <v>3267054.0000000037</v>
      </c>
      <c r="AL113" s="61">
        <f t="shared" si="279"/>
        <v>1287774.9450000019</v>
      </c>
      <c r="AM113" s="21">
        <f>IF(AJ113&gt;0,AJ113+AK113+AL113,0)</f>
        <v>6467002.2783333398</v>
      </c>
      <c r="AN113" s="49">
        <f>IF(AP73&gt;0,+AP73,0)</f>
        <v>0</v>
      </c>
      <c r="AO113" s="77" t="str">
        <f>IF((AM113)&gt;0,IF(AN113&gt;0,AM113+AN113,""),"")</f>
        <v/>
      </c>
      <c r="AP113" s="221">
        <f t="shared" ref="AP113" si="337">+MIN(AO113:AO117)</f>
        <v>41075190.051333368</v>
      </c>
      <c r="AQ113" s="7"/>
      <c r="AR113" s="8"/>
    </row>
    <row r="114" spans="1:44" x14ac:dyDescent="0.25">
      <c r="A114" s="211"/>
      <c r="B114" s="211"/>
      <c r="C114" s="211"/>
      <c r="D114" s="211"/>
      <c r="E114" s="5">
        <v>2</v>
      </c>
      <c r="F114" s="2">
        <f>+H78</f>
        <v>46.89</v>
      </c>
      <c r="G114" s="5">
        <v>4</v>
      </c>
      <c r="H114" s="2">
        <f>+H113</f>
        <v>45.89</v>
      </c>
      <c r="I114" s="2">
        <f>+I113</f>
        <v>80</v>
      </c>
      <c r="J114" s="18">
        <f t="shared" si="281"/>
        <v>1.2500000000000001E-2</v>
      </c>
      <c r="K114" s="2">
        <f>+K113</f>
        <v>1281</v>
      </c>
      <c r="L114" s="15">
        <f t="shared" si="282"/>
        <v>15.573399999999999</v>
      </c>
      <c r="M114" s="33">
        <f t="shared" ref="M114:M117" si="338">+L114/1000</f>
        <v>1.5573399999999999E-2</v>
      </c>
      <c r="N114" s="33">
        <f t="shared" si="110"/>
        <v>0.13147084501519965</v>
      </c>
      <c r="O114" s="33">
        <f t="shared" si="235"/>
        <v>5.1760175202834509</v>
      </c>
      <c r="P114" s="58">
        <f t="shared" si="236"/>
        <v>6</v>
      </c>
      <c r="Q114" s="55">
        <f>IF(O114&gt;0,VLOOKUP(P114,'$ alcantarillado'!$I$5:$L$22,4,FALSE),"0")</f>
        <v>0.14499999999999999</v>
      </c>
      <c r="R114" s="55">
        <f t="shared" si="237"/>
        <v>2.0221788616147186E-2</v>
      </c>
      <c r="S114" s="35">
        <f t="shared" si="238"/>
        <v>0.77012969997938618</v>
      </c>
      <c r="T114" s="58">
        <f>+IF(S114&gt;$B$13,VLOOKUP(P114,'$ alcantarillado'!$I$6:$N$22,5),P114)</f>
        <v>6</v>
      </c>
      <c r="U114" s="55">
        <f>IF(O114&gt;0,VLOOKUP(T114,'$ alcantarillado'!$I$5:$L$22,4),"0")</f>
        <v>0.14499999999999999</v>
      </c>
      <c r="V114" s="55">
        <f t="shared" si="111"/>
        <v>2.0221788616147186E-2</v>
      </c>
      <c r="W114" s="35">
        <f t="shared" si="239"/>
        <v>0.77012969997938618</v>
      </c>
      <c r="X114" s="35">
        <f t="shared" ref="X114:X117" si="339">IF(T114&gt;0,4*V114/(PI()*(U114)^2),"")</f>
        <v>1.2245983796125537</v>
      </c>
      <c r="Y114" s="55">
        <f>IF(T114&gt;0,(VLOOKUP($W114,Relaciones!$A$4:$D$108,2)),"")</f>
        <v>0.97199999999999998</v>
      </c>
      <c r="Z114" s="35">
        <f t="shared" ref="Z114:Z117" si="340">IF(T114&gt;0,Y114*X114,"")</f>
        <v>1.1903096249834022</v>
      </c>
      <c r="AA114" s="35">
        <f t="shared" ref="AA114:AA117" si="341">IF(T114&gt;0,250*U114*J114,"")</f>
        <v>0.453125</v>
      </c>
      <c r="AB114" s="46" t="str">
        <f t="shared" ref="AB114:AB117" si="342">IF(T114&gt;0,IF(W114&lt;=$B$13,"OK","No Cumple"),"")</f>
        <v>OK</v>
      </c>
      <c r="AC114" s="46" t="str">
        <f t="shared" ref="AC114:AC117" si="343">IF(T114&gt;0,IF(Z114&gt;=$B$12,"OK","No Cumple"),"")</f>
        <v>OK</v>
      </c>
      <c r="AD114" s="46" t="str">
        <f t="shared" ref="AD114:AD117" si="344">IF(T114&gt;0,IF(AA114&gt;$B$14,"OK","No Cumple"),"")</f>
        <v>OK</v>
      </c>
      <c r="AE114" s="48">
        <f t="shared" ref="AE114:AE117" si="345">+IF(AB114="OK",1,0)</f>
        <v>1</v>
      </c>
      <c r="AF114" s="48">
        <f t="shared" ref="AF114:AF117" si="346">+IF(AC114="OK",1,0)</f>
        <v>1</v>
      </c>
      <c r="AG114" s="48">
        <f t="shared" ref="AG114:AG117" si="347">+IF(AD114="OK",1,0)</f>
        <v>1</v>
      </c>
      <c r="AH114" s="48">
        <f t="shared" ref="AH114:AH117" si="348">SUM(AE114:AG114)</f>
        <v>3</v>
      </c>
      <c r="AI114" s="46">
        <f t="shared" ref="AI114:AI117" si="349">IF(AH114=3,2*$B$7+U114,0)</f>
        <v>0.64500000000000002</v>
      </c>
      <c r="AJ114" s="20">
        <f>IF(AI114&gt;0,I114*VLOOKUP(T114,'$ alcantarillado'!$I$6:$K$22,3),0)</f>
        <v>1912173.3333333335</v>
      </c>
      <c r="AK114" s="20">
        <f t="shared" si="278"/>
        <v>3731454.0000000047</v>
      </c>
      <c r="AL114" s="20">
        <f t="shared" si="279"/>
        <v>1636765.4450000019</v>
      </c>
      <c r="AM114" s="20">
        <f t="shared" si="295"/>
        <v>7280392.7783333398</v>
      </c>
      <c r="AN114" s="50">
        <f>+AP78</f>
        <v>0</v>
      </c>
      <c r="AO114" s="78" t="str">
        <f t="shared" si="106"/>
        <v/>
      </c>
      <c r="AP114" s="222"/>
      <c r="AQ114" s="2"/>
      <c r="AR114" s="9"/>
    </row>
    <row r="115" spans="1:44" x14ac:dyDescent="0.25">
      <c r="A115" s="211"/>
      <c r="B115" s="211"/>
      <c r="C115" s="211"/>
      <c r="D115" s="211"/>
      <c r="E115" s="56">
        <v>3</v>
      </c>
      <c r="F115" s="2">
        <f>+H83</f>
        <v>46.39</v>
      </c>
      <c r="G115" s="56">
        <v>4</v>
      </c>
      <c r="H115" s="2">
        <f t="shared" ref="H115:H116" si="350">+H114</f>
        <v>45.89</v>
      </c>
      <c r="I115" s="2">
        <f t="shared" ref="I115" si="351">+I114</f>
        <v>80</v>
      </c>
      <c r="J115" s="18">
        <f t="shared" si="281"/>
        <v>6.2500000000000003E-3</v>
      </c>
      <c r="K115" s="2">
        <f t="shared" ref="K115:K116" si="352">+K114</f>
        <v>1281</v>
      </c>
      <c r="L115" s="15">
        <f t="shared" si="282"/>
        <v>15.573399999999999</v>
      </c>
      <c r="M115" s="33">
        <f t="shared" si="338"/>
        <v>1.5573399999999999E-2</v>
      </c>
      <c r="N115" s="33">
        <f t="shared" si="110"/>
        <v>0.14971750410516779</v>
      </c>
      <c r="O115" s="33">
        <f t="shared" si="235"/>
        <v>5.8943899254003069</v>
      </c>
      <c r="P115" s="58">
        <f t="shared" si="236"/>
        <v>6</v>
      </c>
      <c r="Q115" s="55">
        <f>IF(O115&gt;0,VLOOKUP(P115,'$ alcantarillado'!$I$5:$L$22,4,FALSE),"0")</f>
        <v>0.14499999999999999</v>
      </c>
      <c r="R115" s="55">
        <f t="shared" si="237"/>
        <v>1.4298963858198607E-2</v>
      </c>
      <c r="S115" s="35">
        <f t="shared" si="238"/>
        <v>1.0891278664971706</v>
      </c>
      <c r="T115" s="58">
        <f>+IF(S115&gt;$B$13,VLOOKUP(P115,'$ alcantarillado'!$I$6:$N$22,5),P115)</f>
        <v>8</v>
      </c>
      <c r="U115" s="55">
        <f>IF(O115&gt;0,VLOOKUP(T115,'$ alcantarillado'!$I$5:$L$22,4),"0")</f>
        <v>0.182</v>
      </c>
      <c r="V115" s="55">
        <f t="shared" si="111"/>
        <v>2.6212811057560712E-2</v>
      </c>
      <c r="W115" s="35">
        <f t="shared" si="239"/>
        <v>0.59411407520553094</v>
      </c>
      <c r="X115" s="35">
        <f t="shared" si="339"/>
        <v>1.0075832513330949</v>
      </c>
      <c r="Y115" s="55">
        <f>IF(T115&gt;0,(VLOOKUP($W115,Relaciones!$A$4:$D$108,2)),"")</f>
        <v>0.89500000000000002</v>
      </c>
      <c r="Z115" s="35">
        <f t="shared" si="340"/>
        <v>0.90178700994312</v>
      </c>
      <c r="AA115" s="35">
        <f t="shared" si="341"/>
        <v>0.28437499999999999</v>
      </c>
      <c r="AB115" s="46" t="str">
        <f t="shared" si="342"/>
        <v>OK</v>
      </c>
      <c r="AC115" s="46" t="str">
        <f t="shared" si="343"/>
        <v>OK</v>
      </c>
      <c r="AD115" s="46" t="str">
        <f t="shared" si="344"/>
        <v>OK</v>
      </c>
      <c r="AE115" s="48">
        <f t="shared" si="345"/>
        <v>1</v>
      </c>
      <c r="AF115" s="48">
        <f t="shared" si="346"/>
        <v>1</v>
      </c>
      <c r="AG115" s="48">
        <f t="shared" si="347"/>
        <v>1</v>
      </c>
      <c r="AH115" s="48">
        <f t="shared" si="348"/>
        <v>3</v>
      </c>
      <c r="AI115" s="46">
        <f t="shared" si="349"/>
        <v>0.68199999999999994</v>
      </c>
      <c r="AJ115" s="20">
        <f>IF(AI115&gt;0,I115*VLOOKUP(T115,'$ alcantarillado'!$I$6:$K$22,3),0)</f>
        <v>2654586.666666667</v>
      </c>
      <c r="AK115" s="20">
        <f t="shared" si="278"/>
        <v>4491051.8400000036</v>
      </c>
      <c r="AL115" s="20">
        <f t="shared" si="279"/>
        <v>2011581.2420000019</v>
      </c>
      <c r="AM115" s="20">
        <f t="shared" si="295"/>
        <v>9157219.748666672</v>
      </c>
      <c r="AN115" s="80">
        <f>+AP83</f>
        <v>31917970.302666694</v>
      </c>
      <c r="AO115" s="66">
        <f t="shared" ref="AO115:AO117" si="353">IF((AM115)&gt;0,IF(AN115&gt;0,AM115+AN115,""),"")</f>
        <v>41075190.051333368</v>
      </c>
      <c r="AP115" s="223"/>
      <c r="AQ115" s="2">
        <v>3</v>
      </c>
      <c r="AR115" s="9">
        <v>4</v>
      </c>
    </row>
    <row r="116" spans="1:44" x14ac:dyDescent="0.25">
      <c r="A116" s="211"/>
      <c r="B116" s="211"/>
      <c r="C116" s="211"/>
      <c r="D116" s="211"/>
      <c r="E116" s="56">
        <v>4</v>
      </c>
      <c r="F116" s="2">
        <f>+H88</f>
        <v>45.89</v>
      </c>
      <c r="G116" s="56">
        <v>4</v>
      </c>
      <c r="H116" s="2">
        <f t="shared" si="350"/>
        <v>45.89</v>
      </c>
      <c r="I116" s="2">
        <f t="shared" ref="I116" si="354">+I115</f>
        <v>80</v>
      </c>
      <c r="J116" s="18">
        <f>+(F116-H116)/I116</f>
        <v>0</v>
      </c>
      <c r="K116" s="2">
        <f t="shared" si="352"/>
        <v>1281</v>
      </c>
      <c r="L116" s="15">
        <f t="shared" si="282"/>
        <v>15.573399999999999</v>
      </c>
      <c r="M116" s="33">
        <f t="shared" si="338"/>
        <v>1.5573399999999999E-2</v>
      </c>
      <c r="N116" s="33">
        <f t="shared" si="110"/>
        <v>0</v>
      </c>
      <c r="O116" s="33">
        <f t="shared" si="235"/>
        <v>0</v>
      </c>
      <c r="P116" s="58">
        <f t="shared" si="236"/>
        <v>0</v>
      </c>
      <c r="Q116" s="55" t="str">
        <f>IF(O116&gt;0,VLOOKUP(P116,'$ alcantarillado'!$I$5:$L$22,4,FALSE),"0")</f>
        <v>0</v>
      </c>
      <c r="R116" s="55" t="str">
        <f t="shared" si="237"/>
        <v/>
      </c>
      <c r="S116" s="35">
        <f t="shared" si="238"/>
        <v>0</v>
      </c>
      <c r="T116" s="58">
        <f>+IF(S116&gt;$B$13,VLOOKUP(P116,'$ alcantarillado'!$I$6:$N$22,5),P116)</f>
        <v>0</v>
      </c>
      <c r="U116" s="55" t="str">
        <f>IF(O116&gt;0,VLOOKUP(T116,'$ alcantarillado'!$I$5:$L$22,4),"0")</f>
        <v>0</v>
      </c>
      <c r="V116" s="55" t="str">
        <f t="shared" si="111"/>
        <v/>
      </c>
      <c r="W116" s="35">
        <f t="shared" si="239"/>
        <v>0</v>
      </c>
      <c r="X116" s="35" t="str">
        <f t="shared" si="339"/>
        <v/>
      </c>
      <c r="Y116" s="55" t="str">
        <f>IF(T116&gt;0,(VLOOKUP($W116,Relaciones!$A$4:$D$108,2)),"")</f>
        <v/>
      </c>
      <c r="Z116" s="35" t="str">
        <f t="shared" si="340"/>
        <v/>
      </c>
      <c r="AA116" s="35" t="str">
        <f t="shared" si="341"/>
        <v/>
      </c>
      <c r="AB116" s="46" t="str">
        <f t="shared" si="342"/>
        <v/>
      </c>
      <c r="AC116" s="46" t="str">
        <f t="shared" si="343"/>
        <v/>
      </c>
      <c r="AD116" s="46" t="str">
        <f t="shared" si="344"/>
        <v/>
      </c>
      <c r="AE116" s="48">
        <f t="shared" si="345"/>
        <v>0</v>
      </c>
      <c r="AF116" s="48">
        <f t="shared" si="346"/>
        <v>0</v>
      </c>
      <c r="AG116" s="48">
        <f t="shared" si="347"/>
        <v>0</v>
      </c>
      <c r="AH116" s="48">
        <f t="shared" si="348"/>
        <v>0</v>
      </c>
      <c r="AI116" s="46">
        <f t="shared" si="349"/>
        <v>0</v>
      </c>
      <c r="AJ116" s="20">
        <f>IF(AI116&gt;0,I116*VLOOKUP(T116,'$ alcantarillado'!$I$6:$K$22,3),0)</f>
        <v>0</v>
      </c>
      <c r="AK116" s="20">
        <f t="shared" si="278"/>
        <v>0</v>
      </c>
      <c r="AL116" s="20">
        <f t="shared" si="279"/>
        <v>0</v>
      </c>
      <c r="AM116" s="20">
        <f t="shared" si="295"/>
        <v>0</v>
      </c>
      <c r="AN116" s="50">
        <f>+AP88</f>
        <v>31126693.832333364</v>
      </c>
      <c r="AO116" s="78" t="str">
        <f t="shared" si="353"/>
        <v/>
      </c>
      <c r="AP116" s="223"/>
      <c r="AQ116" s="2"/>
      <c r="AR116" s="9"/>
    </row>
    <row r="117" spans="1:44" ht="15.75" thickBot="1" x14ac:dyDescent="0.3">
      <c r="A117" s="211"/>
      <c r="B117" s="211"/>
      <c r="C117" s="211"/>
      <c r="D117" s="211"/>
      <c r="E117" s="6">
        <v>5</v>
      </c>
      <c r="F117" s="16">
        <f>+H93</f>
        <v>45.39</v>
      </c>
      <c r="G117" s="6">
        <v>4</v>
      </c>
      <c r="H117" s="10">
        <f>+H116</f>
        <v>45.89</v>
      </c>
      <c r="I117" s="10">
        <f>+I116</f>
        <v>80</v>
      </c>
      <c r="J117" s="19">
        <f t="shared" si="281"/>
        <v>-6.2500000000000003E-3</v>
      </c>
      <c r="K117" s="10">
        <f>+K116</f>
        <v>1281</v>
      </c>
      <c r="L117" s="16">
        <f t="shared" si="282"/>
        <v>15.573399999999999</v>
      </c>
      <c r="M117" s="34">
        <f t="shared" si="338"/>
        <v>1.5573399999999999E-2</v>
      </c>
      <c r="N117" s="34">
        <f t="shared" ref="N117:N147" si="355">+IF(J117&gt;0,((M117*$B$2*(4^(5/3))/((J117^0.5)*PI()*$B$6))^(3/8)),0)</f>
        <v>0</v>
      </c>
      <c r="O117" s="34">
        <f t="shared" si="235"/>
        <v>0</v>
      </c>
      <c r="P117" s="59">
        <f t="shared" si="236"/>
        <v>0</v>
      </c>
      <c r="Q117" s="55" t="str">
        <f>IF(O117&gt;0,VLOOKUP(P117,'$ alcantarillado'!$I$5:$L$22,4,FALSE),"0")</f>
        <v>0</v>
      </c>
      <c r="R117" s="47" t="str">
        <f t="shared" si="237"/>
        <v/>
      </c>
      <c r="S117" s="35">
        <f t="shared" si="238"/>
        <v>0</v>
      </c>
      <c r="T117" s="58">
        <f>+IF(S117&gt;$B$13,VLOOKUP(P117,'$ alcantarillado'!$I$6:$N$22,5),P117)</f>
        <v>0</v>
      </c>
      <c r="U117" s="55" t="str">
        <f>IF(O117&gt;0,VLOOKUP(T117,'$ alcantarillado'!$I$5:$L$22,4),"0")</f>
        <v>0</v>
      </c>
      <c r="V117" s="55" t="str">
        <f t="shared" ref="V117:V147" si="356">IF(T117&gt;0,PI()*((U117)^(8/3))*((J117)^0.5)/($B$2*4^(5/3)),"")</f>
        <v/>
      </c>
      <c r="W117" s="35">
        <f t="shared" si="239"/>
        <v>0</v>
      </c>
      <c r="X117" s="35" t="str">
        <f t="shared" si="339"/>
        <v/>
      </c>
      <c r="Y117" s="55" t="str">
        <f>IF(T117&gt;0,(VLOOKUP($W117,Relaciones!$A$4:$D$108,2)),"")</f>
        <v/>
      </c>
      <c r="Z117" s="35" t="str">
        <f t="shared" si="340"/>
        <v/>
      </c>
      <c r="AA117" s="35" t="str">
        <f t="shared" si="341"/>
        <v/>
      </c>
      <c r="AB117" s="46" t="str">
        <f t="shared" si="342"/>
        <v/>
      </c>
      <c r="AC117" s="46" t="str">
        <f t="shared" si="343"/>
        <v/>
      </c>
      <c r="AD117" s="46" t="str">
        <f t="shared" si="344"/>
        <v/>
      </c>
      <c r="AE117" s="48">
        <f t="shared" si="345"/>
        <v>0</v>
      </c>
      <c r="AF117" s="48">
        <f t="shared" si="346"/>
        <v>0</v>
      </c>
      <c r="AG117" s="48">
        <f t="shared" si="347"/>
        <v>0</v>
      </c>
      <c r="AH117" s="48">
        <f t="shared" si="348"/>
        <v>0</v>
      </c>
      <c r="AI117" s="46">
        <f t="shared" si="349"/>
        <v>0</v>
      </c>
      <c r="AJ117" s="22">
        <f>IF(AI117&gt;0,I117*VLOOKUP(T117,'$ alcantarillado'!$I$6:$K$22,3),0)</f>
        <v>0</v>
      </c>
      <c r="AK117" s="20">
        <f t="shared" si="278"/>
        <v>0</v>
      </c>
      <c r="AL117" s="20">
        <f t="shared" si="279"/>
        <v>0</v>
      </c>
      <c r="AM117" s="22">
        <f t="shared" si="295"/>
        <v>0</v>
      </c>
      <c r="AN117" s="51">
        <f>+AP93</f>
        <v>31358893.832333364</v>
      </c>
      <c r="AO117" s="79" t="str">
        <f t="shared" si="353"/>
        <v/>
      </c>
      <c r="AP117" s="224"/>
      <c r="AQ117" s="10"/>
      <c r="AR117" s="11"/>
    </row>
    <row r="118" spans="1:44" x14ac:dyDescent="0.25">
      <c r="A118" s="211"/>
      <c r="B118" s="211"/>
      <c r="C118" s="211"/>
      <c r="D118" s="211"/>
      <c r="E118" s="4">
        <v>1</v>
      </c>
      <c r="F118" s="7">
        <f>+H73</f>
        <v>47.39</v>
      </c>
      <c r="G118" s="4">
        <v>5</v>
      </c>
      <c r="H118" s="14">
        <f>+H113-$B$4</f>
        <v>45.39</v>
      </c>
      <c r="I118" s="12">
        <f>+I113</f>
        <v>80</v>
      </c>
      <c r="J118" s="18">
        <f>+(F118-H118)/I118</f>
        <v>2.5000000000000001E-2</v>
      </c>
      <c r="K118" s="12">
        <f>+K113</f>
        <v>1281</v>
      </c>
      <c r="L118" s="14">
        <f>IF(K118&lt;38,K118^0.3686*0.7401,IF(K118&lt;235,K118^0.4193*0.6215,IF(K118&lt;932,K118*0.0092+4.2493,K118*0.0069+6.7345)))</f>
        <v>15.573399999999999</v>
      </c>
      <c r="M118" s="31">
        <f>+L118/1000</f>
        <v>1.5573399999999999E-2</v>
      </c>
      <c r="N118" s="31">
        <f t="shared" si="355"/>
        <v>0.11544797779202376</v>
      </c>
      <c r="O118" s="31">
        <f t="shared" si="235"/>
        <v>4.545195976063928</v>
      </c>
      <c r="P118" s="57">
        <f t="shared" si="236"/>
        <v>6</v>
      </c>
      <c r="Q118" s="60">
        <f>IF(O118&gt;0,VLOOKUP(P118,'$ alcantarillado'!$I$5:$L$22,4,FALSE),"0")</f>
        <v>0.14499999999999999</v>
      </c>
      <c r="R118" s="60">
        <f t="shared" si="237"/>
        <v>2.8597927716397215E-2</v>
      </c>
      <c r="S118" s="27">
        <f t="shared" si="238"/>
        <v>0.54456393324858532</v>
      </c>
      <c r="T118" s="57">
        <f>+IF(S118&gt;$B$13,VLOOKUP(P118,'$ alcantarillado'!$I$6:$N$22,5),P118)</f>
        <v>6</v>
      </c>
      <c r="U118" s="60">
        <f>IF(O118&gt;0,VLOOKUP(T118,'$ alcantarillado'!$I$5:$L$22,4),"0")</f>
        <v>0.14499999999999999</v>
      </c>
      <c r="V118" s="60">
        <f t="shared" si="356"/>
        <v>2.8597927716397215E-2</v>
      </c>
      <c r="W118" s="27">
        <f t="shared" si="239"/>
        <v>0.54456393324858532</v>
      </c>
      <c r="X118" s="27">
        <f>IF(T118&gt;0,4*V118/(PI()*(U118)^2),"")</f>
        <v>1.7318436369081895</v>
      </c>
      <c r="Y118" s="60">
        <f>IF(T118&gt;0,(VLOOKUP($W118,Relaciones!$A$4:$D$108,2)),"")</f>
        <v>0.87</v>
      </c>
      <c r="Z118" s="27">
        <f>IF(T118&gt;0,Y118*X118,"")</f>
        <v>1.506703964110125</v>
      </c>
      <c r="AA118" s="27">
        <f>IF(T118&gt;0,250*U118*J118,"")</f>
        <v>0.90625</v>
      </c>
      <c r="AB118" s="45" t="str">
        <f>IF(T118&gt;0,IF(W118&lt;=$B$13,"OK","No Cumple"),"")</f>
        <v>OK</v>
      </c>
      <c r="AC118" s="45" t="str">
        <f>IF(T118&gt;0,IF(Z118&gt;=$B$12,"OK","No Cumple"),"")</f>
        <v>OK</v>
      </c>
      <c r="AD118" s="45" t="str">
        <f>IF(T118&gt;0,IF(AA118&gt;$B$14,"OK","No Cumple"),"")</f>
        <v>OK</v>
      </c>
      <c r="AE118" s="32">
        <f>+IF(AB118="OK",1,0)</f>
        <v>1</v>
      </c>
      <c r="AF118" s="32">
        <f>+IF(AC118="OK",1,0)</f>
        <v>1</v>
      </c>
      <c r="AG118" s="32">
        <f>+IF(AD118="OK",1,0)</f>
        <v>1</v>
      </c>
      <c r="AH118" s="32">
        <f>SUM(AE118:AG118)</f>
        <v>3</v>
      </c>
      <c r="AI118" s="45">
        <f>IF(AH118=3,2*$B$7+U118,0)</f>
        <v>0.64500000000000002</v>
      </c>
      <c r="AJ118" s="21">
        <f>IF(AI118&gt;0,I118*VLOOKUP(T118,'$ alcantarillado'!$I$6:$K$22,3),0)</f>
        <v>1912173.3333333335</v>
      </c>
      <c r="AK118" s="61">
        <f t="shared" si="278"/>
        <v>3499254.0000000047</v>
      </c>
      <c r="AL118" s="61">
        <f t="shared" si="279"/>
        <v>1287774.9450000019</v>
      </c>
      <c r="AM118" s="21">
        <f>IF(AJ118&gt;0,AJ118+AK118+AL118,0)</f>
        <v>6699202.2783333398</v>
      </c>
      <c r="AN118" s="49">
        <f>IF(AP73&gt;0,+AP73,0)</f>
        <v>0</v>
      </c>
      <c r="AO118" s="77" t="str">
        <f>IF((AM118)&gt;0,IF(AN118&gt;0,AM118+AN118,""),"")</f>
        <v/>
      </c>
      <c r="AP118" s="213">
        <f t="shared" ref="AP118" si="357">+MIN(AO118:AO122)</f>
        <v>40243953.58100003</v>
      </c>
      <c r="AQ118" s="2"/>
      <c r="AR118" s="9"/>
    </row>
    <row r="119" spans="1:44" x14ac:dyDescent="0.25">
      <c r="A119" s="211"/>
      <c r="B119" s="211"/>
      <c r="C119" s="211"/>
      <c r="D119" s="211"/>
      <c r="E119" s="5">
        <v>2</v>
      </c>
      <c r="F119" s="2">
        <f>+H78</f>
        <v>46.89</v>
      </c>
      <c r="G119" s="5">
        <v>5</v>
      </c>
      <c r="H119" s="15">
        <f>+H118</f>
        <v>45.39</v>
      </c>
      <c r="I119" s="2">
        <f>+I118</f>
        <v>80</v>
      </c>
      <c r="J119" s="18">
        <f t="shared" si="281"/>
        <v>1.8749999999999999E-2</v>
      </c>
      <c r="K119" s="2">
        <f>+K118</f>
        <v>1281</v>
      </c>
      <c r="L119" s="15">
        <f t="shared" si="282"/>
        <v>15.573399999999999</v>
      </c>
      <c r="M119" s="33">
        <f t="shared" ref="M119:M122" si="358">+L119/1000</f>
        <v>1.5573399999999999E-2</v>
      </c>
      <c r="N119" s="33">
        <f t="shared" si="355"/>
        <v>0.12184629926257974</v>
      </c>
      <c r="O119" s="33">
        <f t="shared" ref="O119:O147" si="359">+N119*(100/2.54)</f>
        <v>4.7970983961645572</v>
      </c>
      <c r="P119" s="58">
        <f t="shared" si="236"/>
        <v>6</v>
      </c>
      <c r="Q119" s="55">
        <f>IF(O119&gt;0,VLOOKUP(P119,'$ alcantarillado'!$I$5:$L$22,4,FALSE),"0")</f>
        <v>0.14499999999999999</v>
      </c>
      <c r="R119" s="55">
        <f t="shared" ref="R119:R147" si="360">IF(P119&gt;0,PI()*((Q119)^(8/3))*((J119)^0.5)/($B$2*4^(5/3)),"")</f>
        <v>2.4766531897991089E-2</v>
      </c>
      <c r="S119" s="35">
        <f t="shared" ref="S119:S147" si="361">IF(P119&gt;0,+M119/R119,0)</f>
        <v>0.62880826690406411</v>
      </c>
      <c r="T119" s="58">
        <f>+IF(S119&gt;$B$13,VLOOKUP(P119,'$ alcantarillado'!$I$6:$N$22,5),P119)</f>
        <v>6</v>
      </c>
      <c r="U119" s="55">
        <f>IF(O119&gt;0,VLOOKUP(T119,'$ alcantarillado'!$I$5:$L$22,4),"0")</f>
        <v>0.14499999999999999</v>
      </c>
      <c r="V119" s="55">
        <f t="shared" si="356"/>
        <v>2.4766531897991089E-2</v>
      </c>
      <c r="W119" s="35">
        <f t="shared" ref="W119:W147" si="362">IF(T119&gt;0,M119/V119,0)</f>
        <v>0.62880826690406411</v>
      </c>
      <c r="X119" s="35">
        <f t="shared" ref="X119:X122" si="363">IF(T119&gt;0,4*V119/(PI()*(U119)^2),"")</f>
        <v>1.4998205849449258</v>
      </c>
      <c r="Y119" s="55">
        <f>IF(T119&gt;0,(VLOOKUP($W119,Relaciones!$A$4:$D$108,2)),"")</f>
        <v>0.90800000000000003</v>
      </c>
      <c r="Z119" s="35">
        <f t="shared" ref="Z119:Z122" si="364">IF(T119&gt;0,Y119*X119,"")</f>
        <v>1.3618370911299926</v>
      </c>
      <c r="AA119" s="35">
        <f t="shared" ref="AA119:AA122" si="365">IF(T119&gt;0,250*U119*J119,"")</f>
        <v>0.6796875</v>
      </c>
      <c r="AB119" s="46" t="str">
        <f t="shared" ref="AB119:AB122" si="366">IF(T119&gt;0,IF(W119&lt;=$B$13,"OK","No Cumple"),"")</f>
        <v>OK</v>
      </c>
      <c r="AC119" s="46" t="str">
        <f t="shared" ref="AC119:AC122" si="367">IF(T119&gt;0,IF(Z119&gt;=$B$12,"OK","No Cumple"),"")</f>
        <v>OK</v>
      </c>
      <c r="AD119" s="46" t="str">
        <f t="shared" ref="AD119:AD122" si="368">IF(T119&gt;0,IF(AA119&gt;$B$14,"OK","No Cumple"),"")</f>
        <v>OK</v>
      </c>
      <c r="AE119" s="48">
        <f t="shared" ref="AE119:AE122" si="369">+IF(AB119="OK",1,0)</f>
        <v>1</v>
      </c>
      <c r="AF119" s="48">
        <f t="shared" ref="AF119:AF122" si="370">+IF(AC119="OK",1,0)</f>
        <v>1</v>
      </c>
      <c r="AG119" s="48">
        <f t="shared" ref="AG119:AG122" si="371">+IF(AD119="OK",1,0)</f>
        <v>1</v>
      </c>
      <c r="AH119" s="48">
        <f t="shared" ref="AH119:AH122" si="372">SUM(AE119:AG119)</f>
        <v>3</v>
      </c>
      <c r="AI119" s="46">
        <f t="shared" ref="AI119:AI122" si="373">IF(AH119=3,2*$B$7+U119,0)</f>
        <v>0.64500000000000002</v>
      </c>
      <c r="AJ119" s="20">
        <f>IF(AI119&gt;0,I119*VLOOKUP(T119,'$ alcantarillado'!$I$6:$K$22,3),0)</f>
        <v>1912173.3333333335</v>
      </c>
      <c r="AK119" s="20">
        <f t="shared" si="278"/>
        <v>3963654.0000000042</v>
      </c>
      <c r="AL119" s="20">
        <f t="shared" si="279"/>
        <v>1636765.4450000019</v>
      </c>
      <c r="AM119" s="20">
        <f t="shared" si="295"/>
        <v>7512592.7783333398</v>
      </c>
      <c r="AN119" s="50">
        <f>+AP78</f>
        <v>0</v>
      </c>
      <c r="AO119" s="78" t="str">
        <f t="shared" ref="AO119:AO122" si="374">IF((AM119)&gt;0,IF(AN119&gt;0,AM119+AN119,""),"")</f>
        <v/>
      </c>
      <c r="AP119" s="214"/>
      <c r="AQ119" s="2"/>
      <c r="AR119" s="9"/>
    </row>
    <row r="120" spans="1:44" x14ac:dyDescent="0.25">
      <c r="A120" s="211"/>
      <c r="B120" s="211"/>
      <c r="C120" s="211"/>
      <c r="D120" s="211"/>
      <c r="E120" s="56">
        <v>3</v>
      </c>
      <c r="F120" s="2">
        <f>+H83</f>
        <v>46.39</v>
      </c>
      <c r="G120" s="56">
        <v>5</v>
      </c>
      <c r="H120" s="15">
        <f t="shared" ref="H120:H121" si="375">+H119</f>
        <v>45.39</v>
      </c>
      <c r="I120" s="2">
        <f t="shared" ref="I120" si="376">+I119</f>
        <v>80</v>
      </c>
      <c r="J120" s="18">
        <f t="shared" si="281"/>
        <v>1.2500000000000001E-2</v>
      </c>
      <c r="K120" s="2">
        <f t="shared" ref="K120:K121" si="377">+K119</f>
        <v>1281</v>
      </c>
      <c r="L120" s="15">
        <f t="shared" si="282"/>
        <v>15.573399999999999</v>
      </c>
      <c r="M120" s="33">
        <f t="shared" si="358"/>
        <v>1.5573399999999999E-2</v>
      </c>
      <c r="N120" s="33">
        <f t="shared" si="355"/>
        <v>0.13147084501519965</v>
      </c>
      <c r="O120" s="33">
        <f t="shared" si="359"/>
        <v>5.1760175202834509</v>
      </c>
      <c r="P120" s="58">
        <f>IF(O120&lt;0.1,0,IF(O120&lt;4,6,EVEN(O120)))</f>
        <v>6</v>
      </c>
      <c r="Q120" s="55">
        <f>IF(O120&gt;0,VLOOKUP(P120,'$ alcantarillado'!$I$5:$L$22,4,FALSE),"0")</f>
        <v>0.14499999999999999</v>
      </c>
      <c r="R120" s="55">
        <f t="shared" si="360"/>
        <v>2.0221788616147186E-2</v>
      </c>
      <c r="S120" s="35">
        <f t="shared" si="361"/>
        <v>0.77012969997938618</v>
      </c>
      <c r="T120" s="58">
        <f>+IF(S120&gt;$B$13,VLOOKUP(P120,'$ alcantarillado'!$I$6:$N$22,5),P120)</f>
        <v>6</v>
      </c>
      <c r="U120" s="55">
        <f>IF(O120&gt;0,VLOOKUP(T120,'$ alcantarillado'!$I$5:$L$22,4),"0")</f>
        <v>0.14499999999999999</v>
      </c>
      <c r="V120" s="55">
        <f t="shared" si="356"/>
        <v>2.0221788616147186E-2</v>
      </c>
      <c r="W120" s="35">
        <f t="shared" si="362"/>
        <v>0.77012969997938618</v>
      </c>
      <c r="X120" s="35">
        <f t="shared" si="363"/>
        <v>1.2245983796125537</v>
      </c>
      <c r="Y120" s="55">
        <f>IF(T120&gt;0,(VLOOKUP($W120,Relaciones!$A$4:$D$108,2)),"")</f>
        <v>0.97199999999999998</v>
      </c>
      <c r="Z120" s="35">
        <f t="shared" si="364"/>
        <v>1.1903096249834022</v>
      </c>
      <c r="AA120" s="35">
        <f t="shared" si="365"/>
        <v>0.453125</v>
      </c>
      <c r="AB120" s="46" t="str">
        <f t="shared" si="366"/>
        <v>OK</v>
      </c>
      <c r="AC120" s="46" t="str">
        <f t="shared" si="367"/>
        <v>OK</v>
      </c>
      <c r="AD120" s="46" t="str">
        <f t="shared" si="368"/>
        <v>OK</v>
      </c>
      <c r="AE120" s="48">
        <f t="shared" si="369"/>
        <v>1</v>
      </c>
      <c r="AF120" s="48">
        <f t="shared" si="370"/>
        <v>1</v>
      </c>
      <c r="AG120" s="48">
        <f t="shared" si="371"/>
        <v>1</v>
      </c>
      <c r="AH120" s="48">
        <f t="shared" si="372"/>
        <v>3</v>
      </c>
      <c r="AI120" s="46">
        <f t="shared" si="373"/>
        <v>0.64500000000000002</v>
      </c>
      <c r="AJ120" s="20">
        <f>IF(AI120&gt;0,I120*VLOOKUP(T120,'$ alcantarillado'!$I$6:$K$22,3),0)</f>
        <v>1912173.3333333335</v>
      </c>
      <c r="AK120" s="20">
        <f t="shared" si="278"/>
        <v>4428054.0000000047</v>
      </c>
      <c r="AL120" s="20">
        <f t="shared" si="279"/>
        <v>1985755.9450000019</v>
      </c>
      <c r="AM120" s="20">
        <f t="shared" si="295"/>
        <v>8325983.2783333398</v>
      </c>
      <c r="AN120" s="50">
        <f>+AP83</f>
        <v>31917970.302666694</v>
      </c>
      <c r="AO120" s="78">
        <f t="shared" si="374"/>
        <v>40243953.58100003</v>
      </c>
      <c r="AP120" s="215"/>
      <c r="AQ120" s="2">
        <v>3</v>
      </c>
      <c r="AR120" s="9">
        <v>5</v>
      </c>
    </row>
    <row r="121" spans="1:44" x14ac:dyDescent="0.25">
      <c r="A121" s="211"/>
      <c r="B121" s="211"/>
      <c r="C121" s="211"/>
      <c r="D121" s="211"/>
      <c r="E121" s="56">
        <v>4</v>
      </c>
      <c r="F121" s="2">
        <f>+H88</f>
        <v>45.89</v>
      </c>
      <c r="G121" s="56">
        <v>5</v>
      </c>
      <c r="H121" s="15">
        <f t="shared" si="375"/>
        <v>45.39</v>
      </c>
      <c r="I121" s="2">
        <f t="shared" ref="I121" si="378">+I120</f>
        <v>80</v>
      </c>
      <c r="J121" s="18">
        <f>+(F121-H121)/I121</f>
        <v>6.2500000000000003E-3</v>
      </c>
      <c r="K121" s="2">
        <f t="shared" si="377"/>
        <v>1281</v>
      </c>
      <c r="L121" s="15">
        <f t="shared" si="282"/>
        <v>15.573399999999999</v>
      </c>
      <c r="M121" s="33">
        <f t="shared" si="358"/>
        <v>1.5573399999999999E-2</v>
      </c>
      <c r="N121" s="33">
        <f t="shared" si="355"/>
        <v>0.14971750410516779</v>
      </c>
      <c r="O121" s="33">
        <f t="shared" si="359"/>
        <v>5.8943899254003069</v>
      </c>
      <c r="P121" s="58">
        <f t="shared" si="236"/>
        <v>6</v>
      </c>
      <c r="Q121" s="55">
        <f>IF(O121&gt;0,VLOOKUP(P121,'$ alcantarillado'!$I$5:$L$22,4,FALSE),"0")</f>
        <v>0.14499999999999999</v>
      </c>
      <c r="R121" s="55">
        <f t="shared" si="360"/>
        <v>1.4298963858198607E-2</v>
      </c>
      <c r="S121" s="35">
        <f t="shared" si="361"/>
        <v>1.0891278664971706</v>
      </c>
      <c r="T121" s="58">
        <f>+IF(S121&gt;$B$13,VLOOKUP(P121,'$ alcantarillado'!$I$6:$N$22,5),P121)</f>
        <v>8</v>
      </c>
      <c r="U121" s="55">
        <f>IF(O121&gt;0,VLOOKUP(T121,'$ alcantarillado'!$I$5:$L$22,4),"0")</f>
        <v>0.182</v>
      </c>
      <c r="V121" s="55">
        <f t="shared" si="356"/>
        <v>2.6212811057560712E-2</v>
      </c>
      <c r="W121" s="35">
        <f t="shared" si="362"/>
        <v>0.59411407520553094</v>
      </c>
      <c r="X121" s="35">
        <f t="shared" si="363"/>
        <v>1.0075832513330949</v>
      </c>
      <c r="Y121" s="55">
        <f>IF(T121&gt;0,(VLOOKUP($W121,Relaciones!$A$4:$D$108,2)),"")</f>
        <v>0.89500000000000002</v>
      </c>
      <c r="Z121" s="35">
        <f t="shared" si="364"/>
        <v>0.90178700994312</v>
      </c>
      <c r="AA121" s="35">
        <f t="shared" si="365"/>
        <v>0.28437499999999999</v>
      </c>
      <c r="AB121" s="46" t="str">
        <f t="shared" si="366"/>
        <v>OK</v>
      </c>
      <c r="AC121" s="46" t="str">
        <f t="shared" si="367"/>
        <v>OK</v>
      </c>
      <c r="AD121" s="46" t="str">
        <f t="shared" si="368"/>
        <v>OK</v>
      </c>
      <c r="AE121" s="48">
        <f t="shared" si="369"/>
        <v>1</v>
      </c>
      <c r="AF121" s="48">
        <f t="shared" si="370"/>
        <v>1</v>
      </c>
      <c r="AG121" s="48">
        <f t="shared" si="371"/>
        <v>1</v>
      </c>
      <c r="AH121" s="48">
        <f t="shared" si="372"/>
        <v>3</v>
      </c>
      <c r="AI121" s="46">
        <f t="shared" si="373"/>
        <v>0.68199999999999994</v>
      </c>
      <c r="AJ121" s="20">
        <f>IF(AI121&gt;0,I121*VLOOKUP(T121,'$ alcantarillado'!$I$6:$K$22,3),0)</f>
        <v>2654586.666666667</v>
      </c>
      <c r="AK121" s="20">
        <f t="shared" si="278"/>
        <v>5227611.8400000036</v>
      </c>
      <c r="AL121" s="20">
        <f t="shared" si="279"/>
        <v>2360571.7420000019</v>
      </c>
      <c r="AM121" s="20">
        <f t="shared" si="295"/>
        <v>10242770.248666672</v>
      </c>
      <c r="AN121" s="50">
        <f>+AP88</f>
        <v>31126693.832333364</v>
      </c>
      <c r="AO121" s="78">
        <f t="shared" si="374"/>
        <v>41369464.081000037</v>
      </c>
      <c r="AP121" s="215"/>
      <c r="AQ121" s="2"/>
      <c r="AR121" s="9"/>
    </row>
    <row r="122" spans="1:44" ht="15.75" thickBot="1" x14ac:dyDescent="0.3">
      <c r="A122" s="212"/>
      <c r="B122" s="212"/>
      <c r="C122" s="212"/>
      <c r="D122" s="212"/>
      <c r="E122" s="6">
        <v>5</v>
      </c>
      <c r="F122" s="16">
        <f>+H93</f>
        <v>45.39</v>
      </c>
      <c r="G122" s="6">
        <v>5</v>
      </c>
      <c r="H122" s="16">
        <f>+H121</f>
        <v>45.39</v>
      </c>
      <c r="I122" s="10">
        <f>+I121</f>
        <v>80</v>
      </c>
      <c r="J122" s="19">
        <f t="shared" si="281"/>
        <v>0</v>
      </c>
      <c r="K122" s="10">
        <f>+K121</f>
        <v>1281</v>
      </c>
      <c r="L122" s="16">
        <f t="shared" si="282"/>
        <v>15.573399999999999</v>
      </c>
      <c r="M122" s="34">
        <f t="shared" si="358"/>
        <v>1.5573399999999999E-2</v>
      </c>
      <c r="N122" s="34">
        <f t="shared" si="355"/>
        <v>0</v>
      </c>
      <c r="O122" s="34">
        <f t="shared" si="359"/>
        <v>0</v>
      </c>
      <c r="P122" s="59">
        <f t="shared" si="236"/>
        <v>0</v>
      </c>
      <c r="Q122" s="55" t="str">
        <f>IF(O122&gt;0,VLOOKUP(P122,'$ alcantarillado'!$I$5:$L$22,4,FALSE),"0")</f>
        <v>0</v>
      </c>
      <c r="R122" s="47" t="str">
        <f t="shared" si="360"/>
        <v/>
      </c>
      <c r="S122" s="35">
        <f t="shared" si="361"/>
        <v>0</v>
      </c>
      <c r="T122" s="58">
        <f>+IF(S122&gt;$B$13,VLOOKUP(P122,'$ alcantarillado'!$I$6:$N$22,5),P122)</f>
        <v>0</v>
      </c>
      <c r="U122" s="55" t="str">
        <f>IF(O122&gt;0,VLOOKUP(T122,'$ alcantarillado'!$I$5:$L$22,4),"0")</f>
        <v>0</v>
      </c>
      <c r="V122" s="55" t="str">
        <f t="shared" si="356"/>
        <v/>
      </c>
      <c r="W122" s="35">
        <f t="shared" si="362"/>
        <v>0</v>
      </c>
      <c r="X122" s="35" t="str">
        <f t="shared" si="363"/>
        <v/>
      </c>
      <c r="Y122" s="55" t="str">
        <f>IF(T122&gt;0,(VLOOKUP($W122,Relaciones!$A$4:$D$108,2)),"")</f>
        <v/>
      </c>
      <c r="Z122" s="35" t="str">
        <f t="shared" si="364"/>
        <v/>
      </c>
      <c r="AA122" s="35" t="str">
        <f t="shared" si="365"/>
        <v/>
      </c>
      <c r="AB122" s="46" t="str">
        <f t="shared" si="366"/>
        <v/>
      </c>
      <c r="AC122" s="46" t="str">
        <f t="shared" si="367"/>
        <v/>
      </c>
      <c r="AD122" s="46" t="str">
        <f t="shared" si="368"/>
        <v/>
      </c>
      <c r="AE122" s="48">
        <f t="shared" si="369"/>
        <v>0</v>
      </c>
      <c r="AF122" s="48">
        <f t="shared" si="370"/>
        <v>0</v>
      </c>
      <c r="AG122" s="48">
        <f t="shared" si="371"/>
        <v>0</v>
      </c>
      <c r="AH122" s="48">
        <f t="shared" si="372"/>
        <v>0</v>
      </c>
      <c r="AI122" s="46">
        <f t="shared" si="373"/>
        <v>0</v>
      </c>
      <c r="AJ122" s="22">
        <f>IF(AI122&gt;0,I122*VLOOKUP(T122,'$ alcantarillado'!$I$6:$K$22,3),0)</f>
        <v>0</v>
      </c>
      <c r="AK122" s="20">
        <f t="shared" si="278"/>
        <v>0</v>
      </c>
      <c r="AL122" s="20">
        <f t="shared" si="279"/>
        <v>0</v>
      </c>
      <c r="AM122" s="22">
        <f t="shared" si="295"/>
        <v>0</v>
      </c>
      <c r="AN122" s="51">
        <f>+AP93</f>
        <v>31358893.832333364</v>
      </c>
      <c r="AO122" s="79" t="str">
        <f t="shared" si="374"/>
        <v/>
      </c>
      <c r="AP122" s="216"/>
      <c r="AQ122" s="2"/>
      <c r="AR122" s="9"/>
    </row>
    <row r="123" spans="1:44" x14ac:dyDescent="0.25">
      <c r="A123" s="229">
        <v>5</v>
      </c>
      <c r="B123" s="229">
        <f>+C98</f>
        <v>7</v>
      </c>
      <c r="C123" s="229">
        <v>10</v>
      </c>
      <c r="D123" s="229">
        <v>49.09</v>
      </c>
      <c r="E123" s="127">
        <v>1</v>
      </c>
      <c r="F123" s="129">
        <f>+H98</f>
        <v>47.39</v>
      </c>
      <c r="G123" s="127">
        <v>1</v>
      </c>
      <c r="H123" s="142">
        <f>+$D$148-$B$5-$B$4</f>
        <v>46.39</v>
      </c>
      <c r="I123" s="129">
        <v>75</v>
      </c>
      <c r="J123" s="130">
        <f>+(F123-H123)/I123</f>
        <v>1.3333333333333334E-2</v>
      </c>
      <c r="K123" s="129">
        <f>+K112+H7</f>
        <v>1460</v>
      </c>
      <c r="L123" s="132">
        <f>IF(K123&lt;38,K123^0.3686*0.7401,IF(K123&lt;235,K123^0.4193*0.6215,IF(K123&lt;932,K123*0.0092+4.2493,K123*0.0069+6.7345)))</f>
        <v>16.808499999999999</v>
      </c>
      <c r="M123" s="133">
        <f>+L123/1000</f>
        <v>1.6808499999999997E-2</v>
      </c>
      <c r="N123" s="133">
        <f t="shared" si="355"/>
        <v>0.13366067149544208</v>
      </c>
      <c r="O123" s="133">
        <f t="shared" si="359"/>
        <v>5.2622311612378772</v>
      </c>
      <c r="P123" s="134">
        <f t="shared" si="236"/>
        <v>6</v>
      </c>
      <c r="Q123" s="135">
        <f>IF(O123&gt;0,VLOOKUP(P123,'$ alcantarillado'!$I$5:$L$22,4,FALSE),"0")</f>
        <v>0.14499999999999999</v>
      </c>
      <c r="R123" s="135">
        <f t="shared" si="360"/>
        <v>2.0884973477563944E-2</v>
      </c>
      <c r="S123" s="136">
        <f t="shared" si="361"/>
        <v>0.80481308813041241</v>
      </c>
      <c r="T123" s="134">
        <f>+IF(S123&gt;$B$13,VLOOKUP(P123,'$ alcantarillado'!$I$6:$N$22,5),P123)</f>
        <v>6</v>
      </c>
      <c r="U123" s="135">
        <f>IF(O123&gt;0,VLOOKUP(T123,'$ alcantarillado'!$I$5:$L$22,4),"0")</f>
        <v>0.14499999999999999</v>
      </c>
      <c r="V123" s="135">
        <f t="shared" si="356"/>
        <v>2.0884973477563944E-2</v>
      </c>
      <c r="W123" s="136">
        <f t="shared" si="362"/>
        <v>0.80481308813041241</v>
      </c>
      <c r="X123" s="136">
        <f>IF(T123&gt;0,4*V123/(PI()*(U123)^2),"")</f>
        <v>1.2647597680085358</v>
      </c>
      <c r="Y123" s="135">
        <f>IF(T123&gt;0,(VLOOKUP($W123,Relaciones!$A$4:$D$108,2)),"")</f>
        <v>0.98399999999999999</v>
      </c>
      <c r="Z123" s="136">
        <f>IF(T123&gt;0,Y123*X123,"")</f>
        <v>1.2445236117203993</v>
      </c>
      <c r="AA123" s="136">
        <f>IF(T123&gt;0,250*U123*J123,"")</f>
        <v>0.48333333333333334</v>
      </c>
      <c r="AB123" s="137" t="str">
        <f>IF(T123&gt;0,IF(W123&lt;=$B$13,"OK","No Cumple"),"")</f>
        <v>OK</v>
      </c>
      <c r="AC123" s="137" t="str">
        <f>IF(T123&gt;0,IF(Z123&gt;=$B$12,"OK","No Cumple"),"")</f>
        <v>OK</v>
      </c>
      <c r="AD123" s="137" t="str">
        <f>IF(T123&gt;0,IF(AA123&gt;$B$14,"OK","No Cumple"),"")</f>
        <v>OK</v>
      </c>
      <c r="AE123" s="138">
        <f>+IF(AB123="OK",1,0)</f>
        <v>1</v>
      </c>
      <c r="AF123" s="138">
        <f>+IF(AC123="OK",1,0)</f>
        <v>1</v>
      </c>
      <c r="AG123" s="138">
        <f>+IF(AD123="OK",1,0)</f>
        <v>1</v>
      </c>
      <c r="AH123" s="138">
        <f>SUM(AE123:AG123)</f>
        <v>3</v>
      </c>
      <c r="AI123" s="137">
        <f>IF(AH123=3,2*$B$7+U123,0)</f>
        <v>0.64500000000000002</v>
      </c>
      <c r="AJ123" s="139">
        <f>IF(AI123&gt;0,I123*VLOOKUP(T123,'$ alcantarillado'!$I$6:$K$22,3),0)</f>
        <v>1792662.5</v>
      </c>
      <c r="AK123" s="139">
        <f t="shared" ref="AK123:AK147" si="379">IF(N123&gt;0,((($D$123-F123)+(U123))+(($D$148-H123)+(U123))/2)*AI123*I123*$C$9,0)</f>
        <v>2409800.6250000042</v>
      </c>
      <c r="AL123" s="139">
        <f t="shared" ref="AL123:AL147" si="380">IF(AI123&gt;0,(($D$123-F123)+U123)*$C$10,0)</f>
        <v>1287774.9450000019</v>
      </c>
      <c r="AM123" s="139">
        <f>IF(AJ123&gt;0,AJ123+AK123+AL123,0)</f>
        <v>5490238.0700000059</v>
      </c>
      <c r="AN123" s="162">
        <f>IF(AP98&gt;0,+AP98,0)</f>
        <v>0</v>
      </c>
      <c r="AO123" s="140" t="str">
        <f>IF((AM123)&gt;0,IF(AN123&gt;0,AM123+AN123,""),"")</f>
        <v/>
      </c>
      <c r="AP123" s="217">
        <f>+MIN(AO123:AO127)</f>
        <v>0</v>
      </c>
      <c r="AQ123" s="129"/>
      <c r="AR123" s="163"/>
    </row>
    <row r="124" spans="1:44" x14ac:dyDescent="0.25">
      <c r="A124" s="230"/>
      <c r="B124" s="230"/>
      <c r="C124" s="230"/>
      <c r="D124" s="230"/>
      <c r="E124" s="141">
        <v>2</v>
      </c>
      <c r="F124" s="142">
        <f>+H103</f>
        <v>46.89</v>
      </c>
      <c r="G124" s="141">
        <v>1</v>
      </c>
      <c r="H124" s="142">
        <f>+H123</f>
        <v>46.39</v>
      </c>
      <c r="I124" s="142">
        <f>+I123</f>
        <v>75</v>
      </c>
      <c r="J124" s="143">
        <f t="shared" ref="J124:J147" si="381">+(F124-H124)/I124</f>
        <v>6.6666666666666671E-3</v>
      </c>
      <c r="K124" s="142">
        <f>+K123</f>
        <v>1460</v>
      </c>
      <c r="L124" s="128">
        <f t="shared" ref="L124:L147" si="382">IF(K124&lt;38,K124^0.3686*0.7401,IF(K124&lt;235,K124^0.4193*0.6215,IF(K124&lt;932,K124*0.0092+4.2493,K124*0.0069+6.7345)))</f>
        <v>16.808499999999999</v>
      </c>
      <c r="M124" s="144">
        <f t="shared" ref="M124:M127" si="383">+L124/1000</f>
        <v>1.6808499999999997E-2</v>
      </c>
      <c r="N124" s="144">
        <f t="shared" si="355"/>
        <v>0.15221125361295712</v>
      </c>
      <c r="O124" s="144">
        <f t="shared" si="359"/>
        <v>5.9925690398802018</v>
      </c>
      <c r="P124" s="145">
        <f t="shared" si="236"/>
        <v>6</v>
      </c>
      <c r="Q124" s="113">
        <f>IF(O124&gt;0,VLOOKUP(P124,'$ alcantarillado'!$I$5:$L$22,4,FALSE),"0")</f>
        <v>0.14499999999999999</v>
      </c>
      <c r="R124" s="113">
        <f t="shared" si="360"/>
        <v>1.4767906370886659E-2</v>
      </c>
      <c r="S124" s="146">
        <f t="shared" si="361"/>
        <v>1.138177584409402</v>
      </c>
      <c r="T124" s="145">
        <f>+IF(S124&gt;$B$13,VLOOKUP(P124,'$ alcantarillado'!$I$6:$N$22,5),P124)</f>
        <v>8</v>
      </c>
      <c r="U124" s="113">
        <f>IF(O124&gt;0,VLOOKUP(T124,'$ alcantarillado'!$I$5:$L$22,4),"0")</f>
        <v>0.182</v>
      </c>
      <c r="V124" s="113">
        <f t="shared" si="356"/>
        <v>2.707247484885714E-2</v>
      </c>
      <c r="W124" s="146">
        <f t="shared" si="362"/>
        <v>0.62087046322289097</v>
      </c>
      <c r="X124" s="146">
        <f t="shared" ref="X124:X127" si="384">IF(T124&gt;0,4*V124/(PI()*(U124)^2),"")</f>
        <v>1.0406275072881599</v>
      </c>
      <c r="Y124" s="113">
        <f>IF(T124&gt;0,(VLOOKUP($W124,Relaciones!$A$4:$D$108,2)),"")</f>
        <v>0.90800000000000003</v>
      </c>
      <c r="Z124" s="146">
        <f t="shared" ref="Z124:Z127" si="385">IF(T124&gt;0,Y124*X124,"")</f>
        <v>0.94488977661764917</v>
      </c>
      <c r="AA124" s="146">
        <f t="shared" ref="AA124:AA127" si="386">IF(T124&gt;0,250*U124*J124,"")</f>
        <v>0.30333333333333334</v>
      </c>
      <c r="AB124" s="147" t="str">
        <f t="shared" ref="AB124:AB127" si="387">IF(T124&gt;0,IF(W124&lt;=$B$13,"OK","No Cumple"),"")</f>
        <v>OK</v>
      </c>
      <c r="AC124" s="147" t="str">
        <f t="shared" ref="AC124:AC127" si="388">IF(T124&gt;0,IF(Z124&gt;=$B$12,"OK","No Cumple"),"")</f>
        <v>OK</v>
      </c>
      <c r="AD124" s="147" t="str">
        <f t="shared" ref="AD124:AD127" si="389">IF(T124&gt;0,IF(AA124&gt;$B$14,"OK","No Cumple"),"")</f>
        <v>OK</v>
      </c>
      <c r="AE124" s="148">
        <f t="shared" ref="AE124:AE127" si="390">+IF(AB124="OK",1,0)</f>
        <v>1</v>
      </c>
      <c r="AF124" s="148">
        <f t="shared" ref="AF124:AF127" si="391">+IF(AC124="OK",1,0)</f>
        <v>1</v>
      </c>
      <c r="AG124" s="148">
        <f t="shared" ref="AG124:AG127" si="392">+IF(AD124="OK",1,0)</f>
        <v>1</v>
      </c>
      <c r="AH124" s="148">
        <f t="shared" ref="AH124:AH127" si="393">SUM(AE124:AG124)</f>
        <v>3</v>
      </c>
      <c r="AI124" s="147">
        <f t="shared" ref="AI124:AI127" si="394">IF(AH124=3,2*$B$7+U124,0)</f>
        <v>0.68199999999999994</v>
      </c>
      <c r="AJ124" s="149">
        <f>IF(AI124&gt;0,I124*VLOOKUP(T124,'$ alcantarillado'!$I$6:$K$22,3),0)</f>
        <v>2488675</v>
      </c>
      <c r="AK124" s="149">
        <f t="shared" si="379"/>
        <v>3059486.1000000038</v>
      </c>
      <c r="AL124" s="149">
        <f t="shared" si="380"/>
        <v>1662590.7420000019</v>
      </c>
      <c r="AM124" s="149">
        <f t="shared" ref="AM124:AM147" si="395">IF(AJ124&gt;0,AJ124+AK124+AL124,0)</f>
        <v>7210751.8420000058</v>
      </c>
      <c r="AN124" s="164">
        <f>+AP103</f>
        <v>0</v>
      </c>
      <c r="AO124" s="150" t="str">
        <f t="shared" ref="AO124:AO127" si="396">IF((AM124)&gt;0,IF(AN124&gt;0,AM124+AN124,""),"")</f>
        <v/>
      </c>
      <c r="AP124" s="218"/>
      <c r="AQ124" s="142"/>
      <c r="AR124" s="165"/>
    </row>
    <row r="125" spans="1:44" x14ac:dyDescent="0.25">
      <c r="A125" s="230"/>
      <c r="B125" s="230"/>
      <c r="C125" s="230"/>
      <c r="D125" s="230"/>
      <c r="E125" s="151">
        <v>3</v>
      </c>
      <c r="F125" s="142">
        <f>+H108</f>
        <v>46.39</v>
      </c>
      <c r="G125" s="151">
        <v>1</v>
      </c>
      <c r="H125" s="142">
        <f t="shared" ref="H125:H127" si="397">+H124</f>
        <v>46.39</v>
      </c>
      <c r="I125" s="142">
        <f t="shared" ref="I125" si="398">+I124</f>
        <v>75</v>
      </c>
      <c r="J125" s="143">
        <f t="shared" si="381"/>
        <v>0</v>
      </c>
      <c r="K125" s="142">
        <f t="shared" ref="K125" si="399">+K124</f>
        <v>1460</v>
      </c>
      <c r="L125" s="128">
        <f t="shared" si="382"/>
        <v>16.808499999999999</v>
      </c>
      <c r="M125" s="144">
        <f t="shared" si="383"/>
        <v>1.6808499999999997E-2</v>
      </c>
      <c r="N125" s="144">
        <f t="shared" si="355"/>
        <v>0</v>
      </c>
      <c r="O125" s="144">
        <f t="shared" si="359"/>
        <v>0</v>
      </c>
      <c r="P125" s="145">
        <f t="shared" si="236"/>
        <v>0</v>
      </c>
      <c r="Q125" s="113" t="str">
        <f>IF(O125&gt;0,VLOOKUP(P125,'$ alcantarillado'!$I$5:$L$22,4,FALSE),"0")</f>
        <v>0</v>
      </c>
      <c r="R125" s="113" t="str">
        <f t="shared" si="360"/>
        <v/>
      </c>
      <c r="S125" s="146">
        <f t="shared" si="361"/>
        <v>0</v>
      </c>
      <c r="T125" s="145">
        <f>+IF(S125&gt;$B$13,VLOOKUP(P125,'$ alcantarillado'!$I$6:$N$22,5),P125)</f>
        <v>0</v>
      </c>
      <c r="U125" s="113" t="str">
        <f>IF(O125&gt;0,VLOOKUP(T125,'$ alcantarillado'!$I$5:$L$22,4),"0")</f>
        <v>0</v>
      </c>
      <c r="V125" s="113" t="str">
        <f t="shared" si="356"/>
        <v/>
      </c>
      <c r="W125" s="146">
        <f t="shared" si="362"/>
        <v>0</v>
      </c>
      <c r="X125" s="146" t="str">
        <f t="shared" si="384"/>
        <v/>
      </c>
      <c r="Y125" s="113" t="str">
        <f>IF(T125&gt;0,(VLOOKUP($W125,Relaciones!$A$4:$D$108,2)),"")</f>
        <v/>
      </c>
      <c r="Z125" s="146" t="str">
        <f t="shared" si="385"/>
        <v/>
      </c>
      <c r="AA125" s="146" t="str">
        <f t="shared" si="386"/>
        <v/>
      </c>
      <c r="AB125" s="147" t="str">
        <f t="shared" si="387"/>
        <v/>
      </c>
      <c r="AC125" s="147" t="str">
        <f t="shared" si="388"/>
        <v/>
      </c>
      <c r="AD125" s="147" t="str">
        <f t="shared" si="389"/>
        <v/>
      </c>
      <c r="AE125" s="148">
        <f t="shared" si="390"/>
        <v>0</v>
      </c>
      <c r="AF125" s="148">
        <f t="shared" si="391"/>
        <v>0</v>
      </c>
      <c r="AG125" s="148">
        <f t="shared" si="392"/>
        <v>0</v>
      </c>
      <c r="AH125" s="148">
        <f t="shared" si="393"/>
        <v>0</v>
      </c>
      <c r="AI125" s="147">
        <f t="shared" si="394"/>
        <v>0</v>
      </c>
      <c r="AJ125" s="149">
        <f>IF(AI125&gt;0,I125*VLOOKUP(T125,'$ alcantarillado'!$I$6:$K$22,3),0)</f>
        <v>0</v>
      </c>
      <c r="AK125" s="149">
        <f t="shared" si="379"/>
        <v>0</v>
      </c>
      <c r="AL125" s="149">
        <f t="shared" si="380"/>
        <v>0</v>
      </c>
      <c r="AM125" s="149">
        <f t="shared" si="395"/>
        <v>0</v>
      </c>
      <c r="AN125" s="164">
        <f>+AP108</f>
        <v>0</v>
      </c>
      <c r="AO125" s="150" t="str">
        <f t="shared" si="396"/>
        <v/>
      </c>
      <c r="AP125" s="219"/>
      <c r="AQ125" s="142"/>
      <c r="AR125" s="165"/>
    </row>
    <row r="126" spans="1:44" x14ac:dyDescent="0.25">
      <c r="A126" s="230"/>
      <c r="B126" s="230"/>
      <c r="C126" s="230"/>
      <c r="D126" s="230"/>
      <c r="E126" s="151">
        <v>4</v>
      </c>
      <c r="F126" s="142">
        <f>+H113</f>
        <v>45.89</v>
      </c>
      <c r="G126" s="151">
        <v>1</v>
      </c>
      <c r="H126" s="142">
        <f t="shared" si="397"/>
        <v>46.39</v>
      </c>
      <c r="I126" s="142">
        <f t="shared" ref="I126" si="400">+I125</f>
        <v>75</v>
      </c>
      <c r="J126" s="143">
        <f>+(F126-H126)/I126</f>
        <v>-6.6666666666666671E-3</v>
      </c>
      <c r="K126" s="142">
        <f t="shared" ref="K126" si="401">+K125</f>
        <v>1460</v>
      </c>
      <c r="L126" s="128">
        <f t="shared" si="382"/>
        <v>16.808499999999999</v>
      </c>
      <c r="M126" s="144">
        <f t="shared" si="383"/>
        <v>1.6808499999999997E-2</v>
      </c>
      <c r="N126" s="144">
        <f t="shared" si="355"/>
        <v>0</v>
      </c>
      <c r="O126" s="144">
        <f t="shared" si="359"/>
        <v>0</v>
      </c>
      <c r="P126" s="145">
        <f t="shared" si="236"/>
        <v>0</v>
      </c>
      <c r="Q126" s="113" t="str">
        <f>IF(O126&gt;0,VLOOKUP(P126,'$ alcantarillado'!$I$5:$L$22,4,FALSE),"0")</f>
        <v>0</v>
      </c>
      <c r="R126" s="113" t="str">
        <f t="shared" si="360"/>
        <v/>
      </c>
      <c r="S126" s="146">
        <f t="shared" si="361"/>
        <v>0</v>
      </c>
      <c r="T126" s="145">
        <f>+IF(S126&gt;$B$13,VLOOKUP(P126,'$ alcantarillado'!$I$6:$N$22,5),P126)</f>
        <v>0</v>
      </c>
      <c r="U126" s="113" t="str">
        <f>IF(O126&gt;0,VLOOKUP(T126,'$ alcantarillado'!$I$5:$L$22,4),"0")</f>
        <v>0</v>
      </c>
      <c r="V126" s="113" t="str">
        <f t="shared" si="356"/>
        <v/>
      </c>
      <c r="W126" s="146">
        <f t="shared" si="362"/>
        <v>0</v>
      </c>
      <c r="X126" s="146" t="str">
        <f t="shared" si="384"/>
        <v/>
      </c>
      <c r="Y126" s="113" t="str">
        <f>IF(T126&gt;0,(VLOOKUP($W126,Relaciones!$A$4:$D$108,2)),"")</f>
        <v/>
      </c>
      <c r="Z126" s="146" t="str">
        <f t="shared" si="385"/>
        <v/>
      </c>
      <c r="AA126" s="146" t="str">
        <f t="shared" si="386"/>
        <v/>
      </c>
      <c r="AB126" s="147" t="str">
        <f t="shared" si="387"/>
        <v/>
      </c>
      <c r="AC126" s="147" t="str">
        <f t="shared" si="388"/>
        <v/>
      </c>
      <c r="AD126" s="147" t="str">
        <f t="shared" si="389"/>
        <v/>
      </c>
      <c r="AE126" s="148">
        <f t="shared" si="390"/>
        <v>0</v>
      </c>
      <c r="AF126" s="148">
        <f t="shared" si="391"/>
        <v>0</v>
      </c>
      <c r="AG126" s="148">
        <f t="shared" si="392"/>
        <v>0</v>
      </c>
      <c r="AH126" s="148">
        <f t="shared" si="393"/>
        <v>0</v>
      </c>
      <c r="AI126" s="147">
        <f t="shared" si="394"/>
        <v>0</v>
      </c>
      <c r="AJ126" s="149">
        <f>IF(AI126&gt;0,I126*VLOOKUP(T126,'$ alcantarillado'!$I$6:$K$22,3),0)</f>
        <v>0</v>
      </c>
      <c r="AK126" s="149">
        <f t="shared" si="379"/>
        <v>0</v>
      </c>
      <c r="AL126" s="149">
        <f t="shared" si="380"/>
        <v>0</v>
      </c>
      <c r="AM126" s="149">
        <f t="shared" si="395"/>
        <v>0</v>
      </c>
      <c r="AN126" s="164">
        <f>+AP113</f>
        <v>41075190.051333368</v>
      </c>
      <c r="AO126" s="150" t="str">
        <f t="shared" si="396"/>
        <v/>
      </c>
      <c r="AP126" s="219"/>
      <c r="AQ126" s="142"/>
      <c r="AR126" s="165"/>
    </row>
    <row r="127" spans="1:44" ht="15.75" thickBot="1" x14ac:dyDescent="0.3">
      <c r="A127" s="230"/>
      <c r="B127" s="230"/>
      <c r="C127" s="230"/>
      <c r="D127" s="230"/>
      <c r="E127" s="152">
        <v>5</v>
      </c>
      <c r="F127" s="153">
        <f>+H118</f>
        <v>45.39</v>
      </c>
      <c r="G127" s="152">
        <v>1</v>
      </c>
      <c r="H127" s="154">
        <f t="shared" si="397"/>
        <v>46.39</v>
      </c>
      <c r="I127" s="154">
        <f>+I126</f>
        <v>75</v>
      </c>
      <c r="J127" s="155">
        <f t="shared" si="381"/>
        <v>-1.3333333333333334E-2</v>
      </c>
      <c r="K127" s="154">
        <f>+K126</f>
        <v>1460</v>
      </c>
      <c r="L127" s="153">
        <f t="shared" si="382"/>
        <v>16.808499999999999</v>
      </c>
      <c r="M127" s="156">
        <f t="shared" si="383"/>
        <v>1.6808499999999997E-2</v>
      </c>
      <c r="N127" s="156">
        <f t="shared" si="355"/>
        <v>0</v>
      </c>
      <c r="O127" s="156">
        <f t="shared" si="359"/>
        <v>0</v>
      </c>
      <c r="P127" s="157">
        <f t="shared" si="236"/>
        <v>0</v>
      </c>
      <c r="Q127" s="113" t="str">
        <f>IF(O127&gt;0,VLOOKUP(P127,'$ alcantarillado'!$I$5:$L$22,4,FALSE),"0")</f>
        <v>0</v>
      </c>
      <c r="R127" s="113" t="str">
        <f t="shared" si="360"/>
        <v/>
      </c>
      <c r="S127" s="146">
        <f t="shared" si="361"/>
        <v>0</v>
      </c>
      <c r="T127" s="145">
        <f>+IF(S127&gt;$B$13,VLOOKUP(P127,'$ alcantarillado'!$I$6:$N$22,5),P127)</f>
        <v>0</v>
      </c>
      <c r="U127" s="113" t="str">
        <f>IF(O127&gt;0,VLOOKUP(T127,'$ alcantarillado'!$I$5:$L$22,4),"0")</f>
        <v>0</v>
      </c>
      <c r="V127" s="113" t="str">
        <f t="shared" si="356"/>
        <v/>
      </c>
      <c r="W127" s="146">
        <f t="shared" si="362"/>
        <v>0</v>
      </c>
      <c r="X127" s="146" t="str">
        <f t="shared" si="384"/>
        <v/>
      </c>
      <c r="Y127" s="113" t="str">
        <f>IF(T127&gt;0,(VLOOKUP($W127,Relaciones!$A$4:$D$108,2)),"")</f>
        <v/>
      </c>
      <c r="Z127" s="146" t="str">
        <f t="shared" si="385"/>
        <v/>
      </c>
      <c r="AA127" s="146" t="str">
        <f t="shared" si="386"/>
        <v/>
      </c>
      <c r="AB127" s="147" t="str">
        <f t="shared" si="387"/>
        <v/>
      </c>
      <c r="AC127" s="147" t="str">
        <f t="shared" si="388"/>
        <v/>
      </c>
      <c r="AD127" s="147" t="str">
        <f t="shared" si="389"/>
        <v/>
      </c>
      <c r="AE127" s="148">
        <f t="shared" si="390"/>
        <v>0</v>
      </c>
      <c r="AF127" s="148">
        <f t="shared" si="391"/>
        <v>0</v>
      </c>
      <c r="AG127" s="148">
        <f t="shared" si="392"/>
        <v>0</v>
      </c>
      <c r="AH127" s="148">
        <f t="shared" si="393"/>
        <v>0</v>
      </c>
      <c r="AI127" s="147">
        <f t="shared" si="394"/>
        <v>0</v>
      </c>
      <c r="AJ127" s="158">
        <f>IF(AI127&gt;0,I127*VLOOKUP(T127,'$ alcantarillado'!$I$6:$K$22,3),0)</f>
        <v>0</v>
      </c>
      <c r="AK127" s="149">
        <f t="shared" si="379"/>
        <v>0</v>
      </c>
      <c r="AL127" s="149">
        <f t="shared" si="380"/>
        <v>0</v>
      </c>
      <c r="AM127" s="158">
        <f t="shared" si="395"/>
        <v>0</v>
      </c>
      <c r="AN127" s="164">
        <f>+AP118</f>
        <v>40243953.58100003</v>
      </c>
      <c r="AO127" s="159" t="str">
        <f t="shared" si="396"/>
        <v/>
      </c>
      <c r="AP127" s="220"/>
      <c r="AQ127" s="154"/>
      <c r="AR127" s="166"/>
    </row>
    <row r="128" spans="1:44" x14ac:dyDescent="0.25">
      <c r="A128" s="230"/>
      <c r="B128" s="230"/>
      <c r="C128" s="230"/>
      <c r="D128" s="230"/>
      <c r="E128" s="127">
        <v>1</v>
      </c>
      <c r="F128" s="129">
        <f>+H98</f>
        <v>47.39</v>
      </c>
      <c r="G128" s="127">
        <v>2</v>
      </c>
      <c r="H128" s="142">
        <f>+H123-$B$4</f>
        <v>45.89</v>
      </c>
      <c r="I128" s="142">
        <f>+I127</f>
        <v>75</v>
      </c>
      <c r="J128" s="143">
        <f>+(F128-H128)/I128</f>
        <v>0.02</v>
      </c>
      <c r="K128" s="142">
        <f>+K127</f>
        <v>1460</v>
      </c>
      <c r="L128" s="132">
        <f>IF(K128&lt;38,K128^0.3686*0.7401,IF(K128&lt;235,K128^0.4193*0.6215,IF(K128&lt;932,K128*0.0092+4.2493,K128*0.0069+6.7345)))</f>
        <v>16.808499999999999</v>
      </c>
      <c r="M128" s="133">
        <f>+L128/1000</f>
        <v>1.6808499999999997E-2</v>
      </c>
      <c r="N128" s="133">
        <f t="shared" si="355"/>
        <v>0.12387581578857372</v>
      </c>
      <c r="O128" s="133">
        <f t="shared" si="359"/>
        <v>4.8770006215973911</v>
      </c>
      <c r="P128" s="134">
        <f t="shared" si="236"/>
        <v>6</v>
      </c>
      <c r="Q128" s="135">
        <f>IF(O128&gt;0,VLOOKUP(P128,'$ alcantarillado'!$I$5:$L$22,4,FALSE),"0")</f>
        <v>0.14499999999999999</v>
      </c>
      <c r="R128" s="135">
        <f t="shared" si="360"/>
        <v>2.55787641557958E-2</v>
      </c>
      <c r="S128" s="136">
        <f t="shared" si="361"/>
        <v>0.65712713474436646</v>
      </c>
      <c r="T128" s="134">
        <f>+IF(S128&gt;$B$13,VLOOKUP(P128,'$ alcantarillado'!$I$6:$N$22,5),P128)</f>
        <v>6</v>
      </c>
      <c r="U128" s="135">
        <f>IF(O128&gt;0,VLOOKUP(T128,'$ alcantarillado'!$I$5:$L$22,4),"0")</f>
        <v>0.14499999999999999</v>
      </c>
      <c r="V128" s="135">
        <f t="shared" si="356"/>
        <v>2.55787641557958E-2</v>
      </c>
      <c r="W128" s="136">
        <f t="shared" si="362"/>
        <v>0.65712713474436646</v>
      </c>
      <c r="X128" s="136">
        <f>IF(T128&gt;0,4*V128/(PI()*(U128)^2),"")</f>
        <v>1.5490080394108703</v>
      </c>
      <c r="Y128" s="135">
        <f>IF(T128&gt;0,(VLOOKUP($W128,Relaciones!$A$4:$D$108,2)),"")</f>
        <v>0.92200000000000004</v>
      </c>
      <c r="Z128" s="136">
        <f>IF(T128&gt;0,Y128*X128,"")</f>
        <v>1.4281854123368225</v>
      </c>
      <c r="AA128" s="136">
        <f>IF(T128&gt;0,250*U128*J128,"")</f>
        <v>0.72499999999999998</v>
      </c>
      <c r="AB128" s="137" t="str">
        <f>IF(T128&gt;0,IF(W128&lt;=$B$13,"OK","No Cumple"),"")</f>
        <v>OK</v>
      </c>
      <c r="AC128" s="137" t="str">
        <f>IF(T128&gt;0,IF(Z128&gt;=$B$12,"OK","No Cumple"),"")</f>
        <v>OK</v>
      </c>
      <c r="AD128" s="137" t="str">
        <f>IF(T128&gt;0,IF(AA128&gt;$B$14,"OK","No Cumple"),"")</f>
        <v>OK</v>
      </c>
      <c r="AE128" s="138">
        <f>+IF(AB128="OK",1,0)</f>
        <v>1</v>
      </c>
      <c r="AF128" s="138">
        <f>+IF(AC128="OK",1,0)</f>
        <v>1</v>
      </c>
      <c r="AG128" s="138">
        <f>+IF(AD128="OK",1,0)</f>
        <v>1</v>
      </c>
      <c r="AH128" s="138">
        <f>SUM(AE128:AG128)</f>
        <v>3</v>
      </c>
      <c r="AI128" s="137">
        <f>IF(AH128=3,2*$B$7+U128,0)</f>
        <v>0.64500000000000002</v>
      </c>
      <c r="AJ128" s="139">
        <f>IF(AI128&gt;0,I128*VLOOKUP(T128,'$ alcantarillado'!$I$6:$K$22,3),0)</f>
        <v>1792662.5</v>
      </c>
      <c r="AK128" s="139">
        <f t="shared" si="379"/>
        <v>2627488.1250000042</v>
      </c>
      <c r="AL128" s="139">
        <f t="shared" si="380"/>
        <v>1287774.9450000019</v>
      </c>
      <c r="AM128" s="139">
        <f>IF(AJ128&gt;0,AJ128+AK128+AL128,0)</f>
        <v>5707925.5700000059</v>
      </c>
      <c r="AN128" s="162">
        <f>IF(AP98&gt;0,+AP98,0)</f>
        <v>0</v>
      </c>
      <c r="AO128" s="140" t="str">
        <f>IF((AM128)&gt;0,IF(AN128&gt;0,AM128+AN128,""),"")</f>
        <v/>
      </c>
      <c r="AP128" s="217">
        <f>+MIN(AO128:AO132)</f>
        <v>0</v>
      </c>
      <c r="AQ128" s="142"/>
      <c r="AR128" s="165"/>
    </row>
    <row r="129" spans="1:44" x14ac:dyDescent="0.25">
      <c r="A129" s="230"/>
      <c r="B129" s="230"/>
      <c r="C129" s="230"/>
      <c r="D129" s="230"/>
      <c r="E129" s="141">
        <v>2</v>
      </c>
      <c r="F129" s="142">
        <f>+H103</f>
        <v>46.89</v>
      </c>
      <c r="G129" s="141">
        <v>2</v>
      </c>
      <c r="H129" s="142">
        <f>+H128</f>
        <v>45.89</v>
      </c>
      <c r="I129" s="142">
        <f>+I128</f>
        <v>75</v>
      </c>
      <c r="J129" s="143">
        <f t="shared" si="381"/>
        <v>1.3333333333333334E-2</v>
      </c>
      <c r="K129" s="142">
        <f>+K128</f>
        <v>1460</v>
      </c>
      <c r="L129" s="128">
        <f t="shared" si="382"/>
        <v>16.808499999999999</v>
      </c>
      <c r="M129" s="144">
        <f t="shared" ref="M129:M132" si="402">+L129/1000</f>
        <v>1.6808499999999997E-2</v>
      </c>
      <c r="N129" s="144">
        <f t="shared" si="355"/>
        <v>0.13366067149544208</v>
      </c>
      <c r="O129" s="144">
        <f t="shared" si="359"/>
        <v>5.2622311612378772</v>
      </c>
      <c r="P129" s="145">
        <f t="shared" si="236"/>
        <v>6</v>
      </c>
      <c r="Q129" s="113">
        <f>IF(O129&gt;0,VLOOKUP(P129,'$ alcantarillado'!$I$5:$L$22,4,FALSE),"0")</f>
        <v>0.14499999999999999</v>
      </c>
      <c r="R129" s="113">
        <f t="shared" si="360"/>
        <v>2.0884973477563944E-2</v>
      </c>
      <c r="S129" s="146">
        <f t="shared" si="361"/>
        <v>0.80481308813041241</v>
      </c>
      <c r="T129" s="145">
        <f>+IF(S129&gt;$B$13,VLOOKUP(P129,'$ alcantarillado'!$I$6:$N$22,5),P129)</f>
        <v>6</v>
      </c>
      <c r="U129" s="113">
        <f>IF(O129&gt;0,VLOOKUP(T129,'$ alcantarillado'!$I$5:$L$22,4),"0")</f>
        <v>0.14499999999999999</v>
      </c>
      <c r="V129" s="113">
        <f t="shared" si="356"/>
        <v>2.0884973477563944E-2</v>
      </c>
      <c r="W129" s="146">
        <f t="shared" si="362"/>
        <v>0.80481308813041241</v>
      </c>
      <c r="X129" s="146">
        <f t="shared" ref="X129:X132" si="403">IF(T129&gt;0,4*V129/(PI()*(U129)^2),"")</f>
        <v>1.2647597680085358</v>
      </c>
      <c r="Y129" s="113">
        <f>IF(T129&gt;0,(VLOOKUP($W129,Relaciones!$A$4:$D$108,2)),"")</f>
        <v>0.98399999999999999</v>
      </c>
      <c r="Z129" s="146">
        <f t="shared" ref="Z129:Z132" si="404">IF(T129&gt;0,Y129*X129,"")</f>
        <v>1.2445236117203993</v>
      </c>
      <c r="AA129" s="146">
        <f t="shared" ref="AA129:AA132" si="405">IF(T129&gt;0,250*U129*J129,"")</f>
        <v>0.48333333333333334</v>
      </c>
      <c r="AB129" s="147" t="str">
        <f t="shared" ref="AB129:AB132" si="406">IF(T129&gt;0,IF(W129&lt;=$B$13,"OK","No Cumple"),"")</f>
        <v>OK</v>
      </c>
      <c r="AC129" s="147" t="str">
        <f t="shared" ref="AC129:AC132" si="407">IF(T129&gt;0,IF(Z129&gt;=$B$12,"OK","No Cumple"),"")</f>
        <v>OK</v>
      </c>
      <c r="AD129" s="147" t="str">
        <f t="shared" ref="AD129:AD132" si="408">IF(T129&gt;0,IF(AA129&gt;$B$14,"OK","No Cumple"),"")</f>
        <v>OK</v>
      </c>
      <c r="AE129" s="148">
        <f t="shared" ref="AE129:AE132" si="409">+IF(AB129="OK",1,0)</f>
        <v>1</v>
      </c>
      <c r="AF129" s="148">
        <f t="shared" ref="AF129:AF132" si="410">+IF(AC129="OK",1,0)</f>
        <v>1</v>
      </c>
      <c r="AG129" s="148">
        <f t="shared" ref="AG129:AG132" si="411">+IF(AD129="OK",1,0)</f>
        <v>1</v>
      </c>
      <c r="AH129" s="148">
        <f t="shared" ref="AH129:AH132" si="412">SUM(AE129:AG129)</f>
        <v>3</v>
      </c>
      <c r="AI129" s="147">
        <f t="shared" ref="AI129:AI132" si="413">IF(AH129=3,2*$B$7+U129,0)</f>
        <v>0.64500000000000002</v>
      </c>
      <c r="AJ129" s="149">
        <f>IF(AI129&gt;0,I129*VLOOKUP(T129,'$ alcantarillado'!$I$6:$K$22,3),0)</f>
        <v>1792662.5</v>
      </c>
      <c r="AK129" s="149">
        <f t="shared" si="379"/>
        <v>3062863.1250000037</v>
      </c>
      <c r="AL129" s="149">
        <f t="shared" si="380"/>
        <v>1636765.4450000019</v>
      </c>
      <c r="AM129" s="149">
        <f t="shared" si="395"/>
        <v>6492291.0700000059</v>
      </c>
      <c r="AN129" s="164">
        <f>+AP103</f>
        <v>0</v>
      </c>
      <c r="AO129" s="150" t="str">
        <f t="shared" ref="AO129:AO132" si="414">IF((AM129)&gt;0,IF(AN129&gt;0,AM129+AN129,""),"")</f>
        <v/>
      </c>
      <c r="AP129" s="218"/>
      <c r="AQ129" s="142"/>
      <c r="AR129" s="165"/>
    </row>
    <row r="130" spans="1:44" x14ac:dyDescent="0.25">
      <c r="A130" s="230"/>
      <c r="B130" s="230"/>
      <c r="C130" s="230"/>
      <c r="D130" s="230"/>
      <c r="E130" s="151">
        <v>3</v>
      </c>
      <c r="F130" s="142">
        <f>+H108</f>
        <v>46.39</v>
      </c>
      <c r="G130" s="151">
        <v>2</v>
      </c>
      <c r="H130" s="142">
        <f t="shared" ref="H130:H131" si="415">+H129</f>
        <v>45.89</v>
      </c>
      <c r="I130" s="142">
        <f t="shared" ref="I130" si="416">+I129</f>
        <v>75</v>
      </c>
      <c r="J130" s="143">
        <f t="shared" si="381"/>
        <v>6.6666666666666671E-3</v>
      </c>
      <c r="K130" s="142">
        <f t="shared" ref="K130:K131" si="417">+K129</f>
        <v>1460</v>
      </c>
      <c r="L130" s="128">
        <f t="shared" si="382"/>
        <v>16.808499999999999</v>
      </c>
      <c r="M130" s="144">
        <f t="shared" si="402"/>
        <v>1.6808499999999997E-2</v>
      </c>
      <c r="N130" s="144">
        <f t="shared" si="355"/>
        <v>0.15221125361295712</v>
      </c>
      <c r="O130" s="144">
        <f t="shared" si="359"/>
        <v>5.9925690398802018</v>
      </c>
      <c r="P130" s="145">
        <f t="shared" si="236"/>
        <v>6</v>
      </c>
      <c r="Q130" s="113">
        <f>IF(O130&gt;0,VLOOKUP(P130,'$ alcantarillado'!$I$5:$L$22,4,FALSE),"0")</f>
        <v>0.14499999999999999</v>
      </c>
      <c r="R130" s="113">
        <f t="shared" si="360"/>
        <v>1.4767906370886659E-2</v>
      </c>
      <c r="S130" s="146">
        <f t="shared" si="361"/>
        <v>1.138177584409402</v>
      </c>
      <c r="T130" s="145">
        <f>+IF(S130&gt;$B$13,VLOOKUP(P130,'$ alcantarillado'!$I$6:$N$22,5),P130)</f>
        <v>8</v>
      </c>
      <c r="U130" s="113">
        <f>IF(O130&gt;0,VLOOKUP(T130,'$ alcantarillado'!$I$5:$L$22,4),"0")</f>
        <v>0.182</v>
      </c>
      <c r="V130" s="113">
        <f t="shared" si="356"/>
        <v>2.707247484885714E-2</v>
      </c>
      <c r="W130" s="146">
        <f t="shared" si="362"/>
        <v>0.62087046322289097</v>
      </c>
      <c r="X130" s="146">
        <f t="shared" si="403"/>
        <v>1.0406275072881599</v>
      </c>
      <c r="Y130" s="113">
        <f>IF(T130&gt;0,(VLOOKUP($W130,Relaciones!$A$4:$D$108,2)),"")</f>
        <v>0.90800000000000003</v>
      </c>
      <c r="Z130" s="146">
        <f t="shared" si="404"/>
        <v>0.94488977661764917</v>
      </c>
      <c r="AA130" s="146">
        <f t="shared" si="405"/>
        <v>0.30333333333333334</v>
      </c>
      <c r="AB130" s="147" t="str">
        <f t="shared" si="406"/>
        <v>OK</v>
      </c>
      <c r="AC130" s="147" t="str">
        <f t="shared" si="407"/>
        <v>OK</v>
      </c>
      <c r="AD130" s="147" t="str">
        <f t="shared" si="408"/>
        <v>OK</v>
      </c>
      <c r="AE130" s="148">
        <f t="shared" si="409"/>
        <v>1</v>
      </c>
      <c r="AF130" s="148">
        <f t="shared" si="410"/>
        <v>1</v>
      </c>
      <c r="AG130" s="148">
        <f t="shared" si="411"/>
        <v>1</v>
      </c>
      <c r="AH130" s="148">
        <f t="shared" si="412"/>
        <v>3</v>
      </c>
      <c r="AI130" s="147">
        <f t="shared" si="413"/>
        <v>0.68199999999999994</v>
      </c>
      <c r="AJ130" s="149">
        <f>IF(AI130&gt;0,I130*VLOOKUP(T130,'$ alcantarillado'!$I$6:$K$22,3),0)</f>
        <v>2488675</v>
      </c>
      <c r="AK130" s="149">
        <f t="shared" si="379"/>
        <v>3750011.1000000034</v>
      </c>
      <c r="AL130" s="149">
        <f t="shared" si="380"/>
        <v>2011581.2420000019</v>
      </c>
      <c r="AM130" s="149">
        <f t="shared" si="395"/>
        <v>8250267.3420000058</v>
      </c>
      <c r="AN130" s="164">
        <f>+AP108</f>
        <v>0</v>
      </c>
      <c r="AO130" s="150" t="str">
        <f t="shared" si="414"/>
        <v/>
      </c>
      <c r="AP130" s="219"/>
      <c r="AQ130" s="142"/>
      <c r="AR130" s="165"/>
    </row>
    <row r="131" spans="1:44" x14ac:dyDescent="0.25">
      <c r="A131" s="230"/>
      <c r="B131" s="230"/>
      <c r="C131" s="230"/>
      <c r="D131" s="230"/>
      <c r="E131" s="151">
        <v>4</v>
      </c>
      <c r="F131" s="142">
        <f>+H113</f>
        <v>45.89</v>
      </c>
      <c r="G131" s="151">
        <v>2</v>
      </c>
      <c r="H131" s="142">
        <f t="shared" si="415"/>
        <v>45.89</v>
      </c>
      <c r="I131" s="142">
        <f t="shared" ref="I131" si="418">+I130</f>
        <v>75</v>
      </c>
      <c r="J131" s="143">
        <f>+(F131-H131)/I131</f>
        <v>0</v>
      </c>
      <c r="K131" s="142">
        <f t="shared" si="417"/>
        <v>1460</v>
      </c>
      <c r="L131" s="128">
        <f t="shared" si="382"/>
        <v>16.808499999999999</v>
      </c>
      <c r="M131" s="144">
        <f t="shared" si="402"/>
        <v>1.6808499999999997E-2</v>
      </c>
      <c r="N131" s="144">
        <f t="shared" si="355"/>
        <v>0</v>
      </c>
      <c r="O131" s="144">
        <f t="shared" si="359"/>
        <v>0</v>
      </c>
      <c r="P131" s="145">
        <f t="shared" si="236"/>
        <v>0</v>
      </c>
      <c r="Q131" s="113" t="str">
        <f>IF(O131&gt;0,VLOOKUP(P131,'$ alcantarillado'!$I$5:$L$22,4,FALSE),"0")</f>
        <v>0</v>
      </c>
      <c r="R131" s="113" t="str">
        <f t="shared" si="360"/>
        <v/>
      </c>
      <c r="S131" s="146">
        <f t="shared" si="361"/>
        <v>0</v>
      </c>
      <c r="T131" s="145">
        <f>+IF(S131&gt;$B$13,VLOOKUP(P131,'$ alcantarillado'!$I$6:$N$22,5),P131)</f>
        <v>0</v>
      </c>
      <c r="U131" s="113" t="str">
        <f>IF(O131&gt;0,VLOOKUP(T131,'$ alcantarillado'!$I$5:$L$22,4),"0")</f>
        <v>0</v>
      </c>
      <c r="V131" s="113" t="str">
        <f t="shared" si="356"/>
        <v/>
      </c>
      <c r="W131" s="146">
        <f t="shared" si="362"/>
        <v>0</v>
      </c>
      <c r="X131" s="146" t="str">
        <f t="shared" si="403"/>
        <v/>
      </c>
      <c r="Y131" s="113" t="str">
        <f>IF(T131&gt;0,(VLOOKUP($W131,Relaciones!$A$4:$D$108,2)),"")</f>
        <v/>
      </c>
      <c r="Z131" s="146" t="str">
        <f t="shared" si="404"/>
        <v/>
      </c>
      <c r="AA131" s="146" t="str">
        <f t="shared" si="405"/>
        <v/>
      </c>
      <c r="AB131" s="147" t="str">
        <f t="shared" si="406"/>
        <v/>
      </c>
      <c r="AC131" s="147" t="str">
        <f t="shared" si="407"/>
        <v/>
      </c>
      <c r="AD131" s="147" t="str">
        <f t="shared" si="408"/>
        <v/>
      </c>
      <c r="AE131" s="148">
        <f t="shared" si="409"/>
        <v>0</v>
      </c>
      <c r="AF131" s="148">
        <f t="shared" si="410"/>
        <v>0</v>
      </c>
      <c r="AG131" s="148">
        <f t="shared" si="411"/>
        <v>0</v>
      </c>
      <c r="AH131" s="148">
        <f t="shared" si="412"/>
        <v>0</v>
      </c>
      <c r="AI131" s="147">
        <f t="shared" si="413"/>
        <v>0</v>
      </c>
      <c r="AJ131" s="149">
        <f>IF(AI131&gt;0,I131*VLOOKUP(T131,'$ alcantarillado'!$I$6:$K$22,3),0)</f>
        <v>0</v>
      </c>
      <c r="AK131" s="149">
        <f t="shared" si="379"/>
        <v>0</v>
      </c>
      <c r="AL131" s="149">
        <f t="shared" si="380"/>
        <v>0</v>
      </c>
      <c r="AM131" s="149">
        <f t="shared" si="395"/>
        <v>0</v>
      </c>
      <c r="AN131" s="164">
        <f>+AP113</f>
        <v>41075190.051333368</v>
      </c>
      <c r="AO131" s="150" t="str">
        <f t="shared" si="414"/>
        <v/>
      </c>
      <c r="AP131" s="219"/>
      <c r="AQ131" s="142"/>
      <c r="AR131" s="165"/>
    </row>
    <row r="132" spans="1:44" ht="15.75" thickBot="1" x14ac:dyDescent="0.3">
      <c r="A132" s="230"/>
      <c r="B132" s="230"/>
      <c r="C132" s="230"/>
      <c r="D132" s="230"/>
      <c r="E132" s="152">
        <v>5</v>
      </c>
      <c r="F132" s="153">
        <f>+H118</f>
        <v>45.39</v>
      </c>
      <c r="G132" s="152">
        <v>2</v>
      </c>
      <c r="H132" s="154">
        <f>+H131</f>
        <v>45.89</v>
      </c>
      <c r="I132" s="154">
        <f>+I131</f>
        <v>75</v>
      </c>
      <c r="J132" s="155">
        <f t="shared" si="381"/>
        <v>-6.6666666666666671E-3</v>
      </c>
      <c r="K132" s="154">
        <f>+K131</f>
        <v>1460</v>
      </c>
      <c r="L132" s="153">
        <f t="shared" si="382"/>
        <v>16.808499999999999</v>
      </c>
      <c r="M132" s="156">
        <f t="shared" si="402"/>
        <v>1.6808499999999997E-2</v>
      </c>
      <c r="N132" s="156">
        <f t="shared" si="355"/>
        <v>0</v>
      </c>
      <c r="O132" s="156">
        <f t="shared" si="359"/>
        <v>0</v>
      </c>
      <c r="P132" s="157">
        <f t="shared" si="236"/>
        <v>0</v>
      </c>
      <c r="Q132" s="113" t="str">
        <f>IF(O132&gt;0,VLOOKUP(P132,'$ alcantarillado'!$I$5:$L$22,4,FALSE),"0")</f>
        <v>0</v>
      </c>
      <c r="R132" s="160" t="str">
        <f t="shared" si="360"/>
        <v/>
      </c>
      <c r="S132" s="146">
        <f t="shared" si="361"/>
        <v>0</v>
      </c>
      <c r="T132" s="145">
        <f>+IF(S132&gt;$B$13,VLOOKUP(P132,'$ alcantarillado'!$I$6:$N$22,5),P132)</f>
        <v>0</v>
      </c>
      <c r="U132" s="113" t="str">
        <f>IF(O132&gt;0,VLOOKUP(T132,'$ alcantarillado'!$I$5:$L$22,4),"0")</f>
        <v>0</v>
      </c>
      <c r="V132" s="113" t="str">
        <f t="shared" si="356"/>
        <v/>
      </c>
      <c r="W132" s="146">
        <f t="shared" si="362"/>
        <v>0</v>
      </c>
      <c r="X132" s="146" t="str">
        <f t="shared" si="403"/>
        <v/>
      </c>
      <c r="Y132" s="113" t="str">
        <f>IF(T132&gt;0,(VLOOKUP($W132,Relaciones!$A$4:$D$108,2)),"")</f>
        <v/>
      </c>
      <c r="Z132" s="146" t="str">
        <f t="shared" si="404"/>
        <v/>
      </c>
      <c r="AA132" s="146" t="str">
        <f t="shared" si="405"/>
        <v/>
      </c>
      <c r="AB132" s="147" t="str">
        <f t="shared" si="406"/>
        <v/>
      </c>
      <c r="AC132" s="147" t="str">
        <f t="shared" si="407"/>
        <v/>
      </c>
      <c r="AD132" s="147" t="str">
        <f t="shared" si="408"/>
        <v/>
      </c>
      <c r="AE132" s="148">
        <f t="shared" si="409"/>
        <v>0</v>
      </c>
      <c r="AF132" s="148">
        <f t="shared" si="410"/>
        <v>0</v>
      </c>
      <c r="AG132" s="148">
        <f t="shared" si="411"/>
        <v>0</v>
      </c>
      <c r="AH132" s="148">
        <f t="shared" si="412"/>
        <v>0</v>
      </c>
      <c r="AI132" s="147">
        <f t="shared" si="413"/>
        <v>0</v>
      </c>
      <c r="AJ132" s="158">
        <f>IF(AI132&gt;0,I132*VLOOKUP(T132,'$ alcantarillado'!$I$6:$K$22,3),0)</f>
        <v>0</v>
      </c>
      <c r="AK132" s="149">
        <f t="shared" si="379"/>
        <v>0</v>
      </c>
      <c r="AL132" s="149">
        <f t="shared" si="380"/>
        <v>0</v>
      </c>
      <c r="AM132" s="158">
        <f t="shared" si="395"/>
        <v>0</v>
      </c>
      <c r="AN132" s="167">
        <f>+AP118</f>
        <v>40243953.58100003</v>
      </c>
      <c r="AO132" s="159" t="str">
        <f t="shared" si="414"/>
        <v/>
      </c>
      <c r="AP132" s="220"/>
      <c r="AQ132" s="154"/>
      <c r="AR132" s="166"/>
    </row>
    <row r="133" spans="1:44" x14ac:dyDescent="0.25">
      <c r="A133" s="230"/>
      <c r="B133" s="230"/>
      <c r="C133" s="230"/>
      <c r="D133" s="230"/>
      <c r="E133" s="127">
        <v>1</v>
      </c>
      <c r="F133" s="129">
        <f>+H98</f>
        <v>47.39</v>
      </c>
      <c r="G133" s="127">
        <v>3</v>
      </c>
      <c r="H133" s="129">
        <f>+H128-$B$4</f>
        <v>45.39</v>
      </c>
      <c r="I133" s="129">
        <f t="shared" ref="I133" si="419">+I132</f>
        <v>75</v>
      </c>
      <c r="J133" s="143">
        <f>+(F133-H133)/I133</f>
        <v>2.6666666666666668E-2</v>
      </c>
      <c r="K133" s="129">
        <f t="shared" ref="K133" si="420">+K132</f>
        <v>1460</v>
      </c>
      <c r="L133" s="132">
        <f>IF(K133&lt;38,K133^0.3686*0.7401,IF(K133&lt;235,K133^0.4193*0.6215,IF(K133&lt;932,K133*0.0092+4.2493,K133*0.0069+6.7345)))</f>
        <v>16.808499999999999</v>
      </c>
      <c r="M133" s="133">
        <f>+L133/1000</f>
        <v>1.6808499999999997E-2</v>
      </c>
      <c r="N133" s="133">
        <f t="shared" si="355"/>
        <v>0.11737092153540797</v>
      </c>
      <c r="O133" s="133">
        <f t="shared" si="359"/>
        <v>4.6209024226538569</v>
      </c>
      <c r="P133" s="134">
        <f t="shared" si="236"/>
        <v>6</v>
      </c>
      <c r="Q133" s="135">
        <f>IF(O133&gt;0,VLOOKUP(P133,'$ alcantarillado'!$I$5:$L$22,4,FALSE),"0")</f>
        <v>0.14499999999999999</v>
      </c>
      <c r="R133" s="135">
        <f t="shared" si="360"/>
        <v>2.9535812741773318E-2</v>
      </c>
      <c r="S133" s="136">
        <f t="shared" si="361"/>
        <v>0.56908879220470099</v>
      </c>
      <c r="T133" s="134">
        <f>+IF(S133&gt;$B$13,VLOOKUP(P133,'$ alcantarillado'!$I$6:$N$22,5),P133)</f>
        <v>6</v>
      </c>
      <c r="U133" s="135">
        <f>IF(O133&gt;0,VLOOKUP(T133,'$ alcantarillado'!$I$5:$L$22,4),"0")</f>
        <v>0.14499999999999999</v>
      </c>
      <c r="V133" s="135">
        <f t="shared" si="356"/>
        <v>2.9535812741773318E-2</v>
      </c>
      <c r="W133" s="136">
        <f t="shared" si="362"/>
        <v>0.56908879220470099</v>
      </c>
      <c r="X133" s="136">
        <f>IF(T133&gt;0,4*V133/(PI()*(U133)^2),"")</f>
        <v>1.7886404170615211</v>
      </c>
      <c r="Y133" s="135">
        <f>IF(T133&gt;0,(VLOOKUP($W133,Relaciones!$A$4:$D$108,2)),"")</f>
        <v>0.88</v>
      </c>
      <c r="Z133" s="136">
        <f>IF(T133&gt;0,Y133*X133,"")</f>
        <v>1.5740035670141386</v>
      </c>
      <c r="AA133" s="136">
        <f>IF(T133&gt;0,250*U133*J133,"")</f>
        <v>0.96666666666666667</v>
      </c>
      <c r="AB133" s="137" t="str">
        <f>IF(T133&gt;0,IF(W133&lt;=$B$13,"OK","No Cumple"),"")</f>
        <v>OK</v>
      </c>
      <c r="AC133" s="137" t="str">
        <f>IF(T133&gt;0,IF(Z133&gt;=$B$12,"OK","No Cumple"),"")</f>
        <v>OK</v>
      </c>
      <c r="AD133" s="137" t="str">
        <f>IF(T133&gt;0,IF(AA133&gt;$B$14,"OK","No Cumple"),"")</f>
        <v>OK</v>
      </c>
      <c r="AE133" s="138">
        <f>+IF(AB133="OK",1,0)</f>
        <v>1</v>
      </c>
      <c r="AF133" s="138">
        <f>+IF(AC133="OK",1,0)</f>
        <v>1</v>
      </c>
      <c r="AG133" s="138">
        <f>+IF(AD133="OK",1,0)</f>
        <v>1</v>
      </c>
      <c r="AH133" s="138">
        <f>SUM(AE133:AG133)</f>
        <v>3</v>
      </c>
      <c r="AI133" s="137">
        <f>IF(AH133=3,2*$B$7+U133,0)</f>
        <v>0.64500000000000002</v>
      </c>
      <c r="AJ133" s="139">
        <f>IF(AI133&gt;0,I133*VLOOKUP(T133,'$ alcantarillado'!$I$6:$K$22,3),0)</f>
        <v>1792662.5</v>
      </c>
      <c r="AK133" s="139">
        <f t="shared" si="379"/>
        <v>2845175.6250000042</v>
      </c>
      <c r="AL133" s="139">
        <f t="shared" si="380"/>
        <v>1287774.9450000019</v>
      </c>
      <c r="AM133" s="139">
        <f>IF(AJ133&gt;0,AJ133+AK133+AL133,0)</f>
        <v>5925613.0700000059</v>
      </c>
      <c r="AN133" s="162">
        <f>IF(AP98&gt;0,+AP98,0)</f>
        <v>0</v>
      </c>
      <c r="AO133" s="140" t="str">
        <f>IF((AM133)&gt;0,IF(AN133&gt;0,AM133+AN133,""),"")</f>
        <v/>
      </c>
      <c r="AP133" s="217">
        <f t="shared" ref="AP133" si="421">+MIN(AO133:AO137)</f>
        <v>50364972.893333375</v>
      </c>
      <c r="AQ133" s="129"/>
      <c r="AR133" s="163"/>
    </row>
    <row r="134" spans="1:44" x14ac:dyDescent="0.25">
      <c r="A134" s="230"/>
      <c r="B134" s="230"/>
      <c r="C134" s="230"/>
      <c r="D134" s="230"/>
      <c r="E134" s="141">
        <v>2</v>
      </c>
      <c r="F134" s="142">
        <f>+H103</f>
        <v>46.89</v>
      </c>
      <c r="G134" s="141">
        <v>3</v>
      </c>
      <c r="H134" s="142">
        <f>+H133</f>
        <v>45.39</v>
      </c>
      <c r="I134" s="142">
        <f>+I133</f>
        <v>75</v>
      </c>
      <c r="J134" s="143">
        <f t="shared" si="381"/>
        <v>0.02</v>
      </c>
      <c r="K134" s="142">
        <f>+K133</f>
        <v>1460</v>
      </c>
      <c r="L134" s="128">
        <f t="shared" si="382"/>
        <v>16.808499999999999</v>
      </c>
      <c r="M134" s="144">
        <f t="shared" ref="M134:M137" si="422">+L134/1000</f>
        <v>1.6808499999999997E-2</v>
      </c>
      <c r="N134" s="144">
        <f t="shared" si="355"/>
        <v>0.12387581578857372</v>
      </c>
      <c r="O134" s="144">
        <f t="shared" si="359"/>
        <v>4.8770006215973911</v>
      </c>
      <c r="P134" s="145">
        <f t="shared" si="236"/>
        <v>6</v>
      </c>
      <c r="Q134" s="113">
        <f>IF(O134&gt;0,VLOOKUP(P134,'$ alcantarillado'!$I$5:$L$22,4,FALSE),"0")</f>
        <v>0.14499999999999999</v>
      </c>
      <c r="R134" s="113">
        <f t="shared" si="360"/>
        <v>2.55787641557958E-2</v>
      </c>
      <c r="S134" s="146">
        <f t="shared" si="361"/>
        <v>0.65712713474436646</v>
      </c>
      <c r="T134" s="145">
        <f>+IF(S134&gt;$B$13,VLOOKUP(P134,'$ alcantarillado'!$I$6:$N$22,5),P134)</f>
        <v>6</v>
      </c>
      <c r="U134" s="113">
        <f>IF(O134&gt;0,VLOOKUP(T134,'$ alcantarillado'!$I$5:$L$22,4),"0")</f>
        <v>0.14499999999999999</v>
      </c>
      <c r="V134" s="113">
        <f t="shared" si="356"/>
        <v>2.55787641557958E-2</v>
      </c>
      <c r="W134" s="146">
        <f t="shared" si="362"/>
        <v>0.65712713474436646</v>
      </c>
      <c r="X134" s="146">
        <f t="shared" ref="X134:X137" si="423">IF(T134&gt;0,4*V134/(PI()*(U134)^2),"")</f>
        <v>1.5490080394108703</v>
      </c>
      <c r="Y134" s="113">
        <f>IF(T134&gt;0,(VLOOKUP($W134,Relaciones!$A$4:$D$108,2)),"")</f>
        <v>0.92200000000000004</v>
      </c>
      <c r="Z134" s="146">
        <f t="shared" ref="Z134:Z137" si="424">IF(T134&gt;0,Y134*X134,"")</f>
        <v>1.4281854123368225</v>
      </c>
      <c r="AA134" s="146">
        <f t="shared" ref="AA134:AA137" si="425">IF(T134&gt;0,250*U134*J134,"")</f>
        <v>0.72499999999999998</v>
      </c>
      <c r="AB134" s="147" t="str">
        <f t="shared" ref="AB134:AB137" si="426">IF(T134&gt;0,IF(W134&lt;=$B$13,"OK","No Cumple"),"")</f>
        <v>OK</v>
      </c>
      <c r="AC134" s="147" t="str">
        <f t="shared" ref="AC134:AC137" si="427">IF(T134&gt;0,IF(Z134&gt;=$B$12,"OK","No Cumple"),"")</f>
        <v>OK</v>
      </c>
      <c r="AD134" s="147" t="str">
        <f t="shared" ref="AD134:AD137" si="428">IF(T134&gt;0,IF(AA134&gt;$B$14,"OK","No Cumple"),"")</f>
        <v>OK</v>
      </c>
      <c r="AE134" s="148">
        <f t="shared" ref="AE134:AE137" si="429">+IF(AB134="OK",1,0)</f>
        <v>1</v>
      </c>
      <c r="AF134" s="148">
        <f t="shared" ref="AF134:AF137" si="430">+IF(AC134="OK",1,0)</f>
        <v>1</v>
      </c>
      <c r="AG134" s="148">
        <f t="shared" ref="AG134:AG137" si="431">+IF(AD134="OK",1,0)</f>
        <v>1</v>
      </c>
      <c r="AH134" s="148">
        <f t="shared" ref="AH134:AH137" si="432">SUM(AE134:AG134)</f>
        <v>3</v>
      </c>
      <c r="AI134" s="147">
        <f t="shared" ref="AI134:AI137" si="433">IF(AH134=3,2*$B$7+U134,0)</f>
        <v>0.64500000000000002</v>
      </c>
      <c r="AJ134" s="149">
        <f>IF(AI134&gt;0,I134*VLOOKUP(T134,'$ alcantarillado'!$I$6:$K$22,3),0)</f>
        <v>1792662.5</v>
      </c>
      <c r="AK134" s="149">
        <f t="shared" si="379"/>
        <v>3280550.6250000042</v>
      </c>
      <c r="AL134" s="149">
        <f t="shared" si="380"/>
        <v>1636765.4450000019</v>
      </c>
      <c r="AM134" s="149">
        <f t="shared" si="395"/>
        <v>6709978.5700000059</v>
      </c>
      <c r="AN134" s="164">
        <f>+AP103</f>
        <v>0</v>
      </c>
      <c r="AO134" s="150" t="str">
        <f t="shared" ref="AO134:AO137" si="434">IF((AM134)&gt;0,IF(AN134&gt;0,AM134+AN134,""),"")</f>
        <v/>
      </c>
      <c r="AP134" s="218"/>
      <c r="AQ134" s="142"/>
      <c r="AR134" s="165"/>
    </row>
    <row r="135" spans="1:44" x14ac:dyDescent="0.25">
      <c r="A135" s="230"/>
      <c r="B135" s="230"/>
      <c r="C135" s="230"/>
      <c r="D135" s="230"/>
      <c r="E135" s="151">
        <v>3</v>
      </c>
      <c r="F135" s="142">
        <f>+H108</f>
        <v>46.39</v>
      </c>
      <c r="G135" s="151">
        <v>3</v>
      </c>
      <c r="H135" s="142">
        <f t="shared" ref="H135:H136" si="435">+H134</f>
        <v>45.39</v>
      </c>
      <c r="I135" s="142">
        <f t="shared" ref="I135" si="436">+I134</f>
        <v>75</v>
      </c>
      <c r="J135" s="143">
        <f t="shared" si="381"/>
        <v>1.3333333333333334E-2</v>
      </c>
      <c r="K135" s="142">
        <f t="shared" ref="K135:K136" si="437">+K134</f>
        <v>1460</v>
      </c>
      <c r="L135" s="128">
        <f t="shared" si="382"/>
        <v>16.808499999999999</v>
      </c>
      <c r="M135" s="144">
        <f t="shared" si="422"/>
        <v>1.6808499999999997E-2</v>
      </c>
      <c r="N135" s="144">
        <f t="shared" si="355"/>
        <v>0.13366067149544208</v>
      </c>
      <c r="O135" s="144">
        <f t="shared" si="359"/>
        <v>5.2622311612378772</v>
      </c>
      <c r="P135" s="145">
        <f t="shared" si="236"/>
        <v>6</v>
      </c>
      <c r="Q135" s="113">
        <f>IF(O135&gt;0,VLOOKUP(P135,'$ alcantarillado'!$I$5:$L$22,4,FALSE),"0")</f>
        <v>0.14499999999999999</v>
      </c>
      <c r="R135" s="113">
        <f t="shared" si="360"/>
        <v>2.0884973477563944E-2</v>
      </c>
      <c r="S135" s="146">
        <f t="shared" si="361"/>
        <v>0.80481308813041241</v>
      </c>
      <c r="T135" s="145">
        <f>+IF(S135&gt;$B$13,VLOOKUP(P135,'$ alcantarillado'!$I$6:$N$22,5),P135)</f>
        <v>6</v>
      </c>
      <c r="U135" s="113">
        <f>IF(O135&gt;0,VLOOKUP(T135,'$ alcantarillado'!$I$5:$L$22,4),"0")</f>
        <v>0.14499999999999999</v>
      </c>
      <c r="V135" s="113">
        <f t="shared" si="356"/>
        <v>2.0884973477563944E-2</v>
      </c>
      <c r="W135" s="146">
        <f t="shared" si="362"/>
        <v>0.80481308813041241</v>
      </c>
      <c r="X135" s="146">
        <f t="shared" si="423"/>
        <v>1.2647597680085358</v>
      </c>
      <c r="Y135" s="113">
        <f>IF(T135&gt;0,(VLOOKUP($W135,Relaciones!$A$4:$D$108,2)),"")</f>
        <v>0.98399999999999999</v>
      </c>
      <c r="Z135" s="146">
        <f t="shared" si="424"/>
        <v>1.2445236117203993</v>
      </c>
      <c r="AA135" s="146">
        <f t="shared" si="425"/>
        <v>0.48333333333333334</v>
      </c>
      <c r="AB135" s="147" t="str">
        <f t="shared" si="426"/>
        <v>OK</v>
      </c>
      <c r="AC135" s="147" t="str">
        <f t="shared" si="427"/>
        <v>OK</v>
      </c>
      <c r="AD135" s="147" t="str">
        <f t="shared" si="428"/>
        <v>OK</v>
      </c>
      <c r="AE135" s="148">
        <f t="shared" si="429"/>
        <v>1</v>
      </c>
      <c r="AF135" s="148">
        <f t="shared" si="430"/>
        <v>1</v>
      </c>
      <c r="AG135" s="148">
        <f t="shared" si="431"/>
        <v>1</v>
      </c>
      <c r="AH135" s="148">
        <f t="shared" si="432"/>
        <v>3</v>
      </c>
      <c r="AI135" s="147">
        <f t="shared" si="433"/>
        <v>0.64500000000000002</v>
      </c>
      <c r="AJ135" s="149">
        <f>IF(AI135&gt;0,I135*VLOOKUP(T135,'$ alcantarillado'!$I$6:$K$22,3),0)</f>
        <v>1792662.5</v>
      </c>
      <c r="AK135" s="149">
        <f t="shared" si="379"/>
        <v>3715925.6250000042</v>
      </c>
      <c r="AL135" s="149">
        <f t="shared" si="380"/>
        <v>1985755.9450000019</v>
      </c>
      <c r="AM135" s="149">
        <f t="shared" si="395"/>
        <v>7494344.0700000059</v>
      </c>
      <c r="AN135" s="164">
        <f>+AP108</f>
        <v>0</v>
      </c>
      <c r="AO135" s="150" t="str">
        <f t="shared" si="434"/>
        <v/>
      </c>
      <c r="AP135" s="219"/>
      <c r="AQ135" s="142">
        <v>4</v>
      </c>
      <c r="AR135" s="165">
        <v>3</v>
      </c>
    </row>
    <row r="136" spans="1:44" x14ac:dyDescent="0.25">
      <c r="A136" s="230"/>
      <c r="B136" s="230"/>
      <c r="C136" s="230"/>
      <c r="D136" s="230"/>
      <c r="E136" s="151">
        <v>4</v>
      </c>
      <c r="F136" s="142">
        <f>+H113</f>
        <v>45.89</v>
      </c>
      <c r="G136" s="151">
        <v>3</v>
      </c>
      <c r="H136" s="142">
        <f t="shared" si="435"/>
        <v>45.39</v>
      </c>
      <c r="I136" s="142">
        <f t="shared" ref="I136" si="438">+I135</f>
        <v>75</v>
      </c>
      <c r="J136" s="143">
        <f>+(F136-H136)/I136</f>
        <v>6.6666666666666671E-3</v>
      </c>
      <c r="K136" s="142">
        <f t="shared" si="437"/>
        <v>1460</v>
      </c>
      <c r="L136" s="128">
        <f t="shared" si="382"/>
        <v>16.808499999999999</v>
      </c>
      <c r="M136" s="144">
        <f t="shared" si="422"/>
        <v>1.6808499999999997E-2</v>
      </c>
      <c r="N136" s="144">
        <f t="shared" si="355"/>
        <v>0.15221125361295712</v>
      </c>
      <c r="O136" s="144">
        <f t="shared" si="359"/>
        <v>5.9925690398802018</v>
      </c>
      <c r="P136" s="145">
        <f t="shared" si="236"/>
        <v>6</v>
      </c>
      <c r="Q136" s="113">
        <f>IF(O136&gt;0,VLOOKUP(P136,'$ alcantarillado'!$I$5:$L$22,4,FALSE),"0")</f>
        <v>0.14499999999999999</v>
      </c>
      <c r="R136" s="113">
        <f t="shared" si="360"/>
        <v>1.4767906370886659E-2</v>
      </c>
      <c r="S136" s="146">
        <f t="shared" si="361"/>
        <v>1.138177584409402</v>
      </c>
      <c r="T136" s="145">
        <f>+IF(S136&gt;$B$13,VLOOKUP(P136,'$ alcantarillado'!$I$6:$N$22,5),P136)</f>
        <v>8</v>
      </c>
      <c r="U136" s="113">
        <f>IF(O136&gt;0,VLOOKUP(T136,'$ alcantarillado'!$I$5:$L$22,4),"0")</f>
        <v>0.182</v>
      </c>
      <c r="V136" s="113">
        <f t="shared" si="356"/>
        <v>2.707247484885714E-2</v>
      </c>
      <c r="W136" s="146">
        <f t="shared" si="362"/>
        <v>0.62087046322289097</v>
      </c>
      <c r="X136" s="146">
        <f t="shared" si="423"/>
        <v>1.0406275072881599</v>
      </c>
      <c r="Y136" s="113">
        <f>IF(T136&gt;0,(VLOOKUP($W136,Relaciones!$A$4:$D$108,2)),"")</f>
        <v>0.90800000000000003</v>
      </c>
      <c r="Z136" s="146">
        <f t="shared" si="424"/>
        <v>0.94488977661764917</v>
      </c>
      <c r="AA136" s="146">
        <f t="shared" si="425"/>
        <v>0.30333333333333334</v>
      </c>
      <c r="AB136" s="147" t="str">
        <f t="shared" si="426"/>
        <v>OK</v>
      </c>
      <c r="AC136" s="147" t="str">
        <f t="shared" si="427"/>
        <v>OK</v>
      </c>
      <c r="AD136" s="147" t="str">
        <f t="shared" si="428"/>
        <v>OK</v>
      </c>
      <c r="AE136" s="148">
        <f t="shared" si="429"/>
        <v>1</v>
      </c>
      <c r="AF136" s="148">
        <f t="shared" si="430"/>
        <v>1</v>
      </c>
      <c r="AG136" s="148">
        <f t="shared" si="431"/>
        <v>1</v>
      </c>
      <c r="AH136" s="148">
        <f t="shared" si="432"/>
        <v>3</v>
      </c>
      <c r="AI136" s="147">
        <f t="shared" si="433"/>
        <v>0.68199999999999994</v>
      </c>
      <c r="AJ136" s="149">
        <f>IF(AI136&gt;0,I136*VLOOKUP(T136,'$ alcantarillado'!$I$6:$K$22,3),0)</f>
        <v>2488675</v>
      </c>
      <c r="AK136" s="149">
        <f t="shared" si="379"/>
        <v>4440536.1000000034</v>
      </c>
      <c r="AL136" s="149">
        <f t="shared" si="380"/>
        <v>2360571.7420000019</v>
      </c>
      <c r="AM136" s="149">
        <f t="shared" si="395"/>
        <v>9289782.8420000058</v>
      </c>
      <c r="AN136" s="164">
        <f>+AP113</f>
        <v>41075190.051333368</v>
      </c>
      <c r="AO136" s="150">
        <f t="shared" si="434"/>
        <v>50364972.893333375</v>
      </c>
      <c r="AP136" s="219"/>
      <c r="AQ136" s="142"/>
      <c r="AR136" s="165"/>
    </row>
    <row r="137" spans="1:44" ht="15.75" thickBot="1" x14ac:dyDescent="0.3">
      <c r="A137" s="230"/>
      <c r="B137" s="230"/>
      <c r="C137" s="230"/>
      <c r="D137" s="230"/>
      <c r="E137" s="152">
        <v>5</v>
      </c>
      <c r="F137" s="153">
        <f>+H118</f>
        <v>45.39</v>
      </c>
      <c r="G137" s="152">
        <v>3</v>
      </c>
      <c r="H137" s="154">
        <f>+H136</f>
        <v>45.39</v>
      </c>
      <c r="I137" s="154">
        <f>+I136</f>
        <v>75</v>
      </c>
      <c r="J137" s="155">
        <f t="shared" si="381"/>
        <v>0</v>
      </c>
      <c r="K137" s="154">
        <f>+K136</f>
        <v>1460</v>
      </c>
      <c r="L137" s="153">
        <f t="shared" si="382"/>
        <v>16.808499999999999</v>
      </c>
      <c r="M137" s="156">
        <f t="shared" si="422"/>
        <v>1.6808499999999997E-2</v>
      </c>
      <c r="N137" s="156">
        <f t="shared" si="355"/>
        <v>0</v>
      </c>
      <c r="O137" s="156">
        <f t="shared" si="359"/>
        <v>0</v>
      </c>
      <c r="P137" s="157">
        <f t="shared" si="236"/>
        <v>0</v>
      </c>
      <c r="Q137" s="113" t="str">
        <f>IF(O137&gt;0,VLOOKUP(P137,'$ alcantarillado'!$I$5:$L$22,4,FALSE),"0")</f>
        <v>0</v>
      </c>
      <c r="R137" s="160" t="str">
        <f t="shared" si="360"/>
        <v/>
      </c>
      <c r="S137" s="146">
        <f t="shared" si="361"/>
        <v>0</v>
      </c>
      <c r="T137" s="145">
        <f>+IF(S137&gt;$B$13,VLOOKUP(P137,'$ alcantarillado'!$I$6:$N$22,5),P137)</f>
        <v>0</v>
      </c>
      <c r="U137" s="113" t="str">
        <f>IF(O137&gt;0,VLOOKUP(T137,'$ alcantarillado'!$I$5:$L$22,4),"0")</f>
        <v>0</v>
      </c>
      <c r="V137" s="113" t="str">
        <f t="shared" si="356"/>
        <v/>
      </c>
      <c r="W137" s="146">
        <f t="shared" si="362"/>
        <v>0</v>
      </c>
      <c r="X137" s="146" t="str">
        <f t="shared" si="423"/>
        <v/>
      </c>
      <c r="Y137" s="113" t="str">
        <f>IF(T137&gt;0,(VLOOKUP($W137,Relaciones!$A$4:$D$108,2)),"")</f>
        <v/>
      </c>
      <c r="Z137" s="146" t="str">
        <f t="shared" si="424"/>
        <v/>
      </c>
      <c r="AA137" s="146" t="str">
        <f t="shared" si="425"/>
        <v/>
      </c>
      <c r="AB137" s="147" t="str">
        <f t="shared" si="426"/>
        <v/>
      </c>
      <c r="AC137" s="147" t="str">
        <f t="shared" si="427"/>
        <v/>
      </c>
      <c r="AD137" s="147" t="str">
        <f t="shared" si="428"/>
        <v/>
      </c>
      <c r="AE137" s="148">
        <f t="shared" si="429"/>
        <v>0</v>
      </c>
      <c r="AF137" s="148">
        <f t="shared" si="430"/>
        <v>0</v>
      </c>
      <c r="AG137" s="148">
        <f t="shared" si="431"/>
        <v>0</v>
      </c>
      <c r="AH137" s="148">
        <f t="shared" si="432"/>
        <v>0</v>
      </c>
      <c r="AI137" s="147">
        <f t="shared" si="433"/>
        <v>0</v>
      </c>
      <c r="AJ137" s="158">
        <f>IF(AI137&gt;0,I137*VLOOKUP(T137,'$ alcantarillado'!$I$6:$K$22,3),0)</f>
        <v>0</v>
      </c>
      <c r="AK137" s="149">
        <f t="shared" si="379"/>
        <v>0</v>
      </c>
      <c r="AL137" s="149">
        <f t="shared" si="380"/>
        <v>0</v>
      </c>
      <c r="AM137" s="158">
        <f t="shared" si="395"/>
        <v>0</v>
      </c>
      <c r="AN137" s="167">
        <f>+AP118</f>
        <v>40243953.58100003</v>
      </c>
      <c r="AO137" s="159" t="str">
        <f t="shared" si="434"/>
        <v/>
      </c>
      <c r="AP137" s="220"/>
      <c r="AQ137" s="154"/>
      <c r="AR137" s="166"/>
    </row>
    <row r="138" spans="1:44" x14ac:dyDescent="0.25">
      <c r="A138" s="230"/>
      <c r="B138" s="230"/>
      <c r="C138" s="230"/>
      <c r="D138" s="230"/>
      <c r="E138" s="127">
        <v>1</v>
      </c>
      <c r="F138" s="129">
        <f>+H98</f>
        <v>47.39</v>
      </c>
      <c r="G138" s="127">
        <v>4</v>
      </c>
      <c r="H138" s="129">
        <f>+H133-$B$4</f>
        <v>44.89</v>
      </c>
      <c r="I138" s="142">
        <f>+I133</f>
        <v>75</v>
      </c>
      <c r="J138" s="143">
        <f>+(F138-H138)/I138</f>
        <v>3.3333333333333333E-2</v>
      </c>
      <c r="K138" s="142">
        <f>+K133</f>
        <v>1460</v>
      </c>
      <c r="L138" s="132">
        <f>IF(K138&lt;38,K138^0.3686*0.7401,IF(K138&lt;235,K138^0.4193*0.6215,IF(K138&lt;932,K138*0.0092+4.2493,K138*0.0069+6.7345)))</f>
        <v>16.808499999999999</v>
      </c>
      <c r="M138" s="133">
        <f>+L138/1000</f>
        <v>1.6808499999999997E-2</v>
      </c>
      <c r="N138" s="133">
        <f t="shared" si="355"/>
        <v>0.1125615039180171</v>
      </c>
      <c r="O138" s="133">
        <f t="shared" si="359"/>
        <v>4.4315552723628784</v>
      </c>
      <c r="P138" s="134">
        <f t="shared" si="236"/>
        <v>6</v>
      </c>
      <c r="Q138" s="135">
        <f>IF(O138&gt;0,VLOOKUP(P138,'$ alcantarillado'!$I$5:$L$22,4,FALSE),"0")</f>
        <v>0.14499999999999999</v>
      </c>
      <c r="R138" s="135">
        <f t="shared" si="360"/>
        <v>3.3022042530654785E-2</v>
      </c>
      <c r="S138" s="136">
        <f t="shared" si="361"/>
        <v>0.50900848984118563</v>
      </c>
      <c r="T138" s="134">
        <f>+IF(S138&gt;$B$13,VLOOKUP(P138,'$ alcantarillado'!$I$6:$N$22,5),P138)</f>
        <v>6</v>
      </c>
      <c r="U138" s="135">
        <f>IF(O138&gt;0,VLOOKUP(T138,'$ alcantarillado'!$I$5:$L$22,4),"0")</f>
        <v>0.14499999999999999</v>
      </c>
      <c r="V138" s="135">
        <f t="shared" si="356"/>
        <v>3.3022042530654785E-2</v>
      </c>
      <c r="W138" s="136">
        <f t="shared" si="362"/>
        <v>0.50900848984118563</v>
      </c>
      <c r="X138" s="136">
        <f>IF(T138&gt;0,4*V138/(PI()*(U138)^2),"")</f>
        <v>1.9997607799265675</v>
      </c>
      <c r="Y138" s="135">
        <f>IF(T138&gt;0,(VLOOKUP($W138,Relaciones!$A$4:$D$108,2)),"")</f>
        <v>0.85</v>
      </c>
      <c r="Z138" s="136">
        <f>IF(T138&gt;0,Y138*X138,"")</f>
        <v>1.6997966629375822</v>
      </c>
      <c r="AA138" s="136">
        <f>IF(T138&gt;0,250*U138*J138,"")</f>
        <v>1.2083333333333333</v>
      </c>
      <c r="AB138" s="137" t="str">
        <f>IF(T138&gt;0,IF(W138&lt;=$B$13,"OK","No Cumple"),"")</f>
        <v>OK</v>
      </c>
      <c r="AC138" s="137" t="str">
        <f>IF(T138&gt;0,IF(Z138&gt;=$B$12,"OK","No Cumple"),"")</f>
        <v>OK</v>
      </c>
      <c r="AD138" s="137" t="str">
        <f>IF(T138&gt;0,IF(AA138&gt;$B$14,"OK","No Cumple"),"")</f>
        <v>OK</v>
      </c>
      <c r="AE138" s="138">
        <f>+IF(AB138="OK",1,0)</f>
        <v>1</v>
      </c>
      <c r="AF138" s="138">
        <f>+IF(AC138="OK",1,0)</f>
        <v>1</v>
      </c>
      <c r="AG138" s="138">
        <f>+IF(AD138="OK",1,0)</f>
        <v>1</v>
      </c>
      <c r="AH138" s="138">
        <f>SUM(AE138:AG138)</f>
        <v>3</v>
      </c>
      <c r="AI138" s="137">
        <f>IF(AH138=3,2*$B$7+U138,0)</f>
        <v>0.64500000000000002</v>
      </c>
      <c r="AJ138" s="139">
        <f>IF(AI138&gt;0,I138*VLOOKUP(T138,'$ alcantarillado'!$I$6:$K$22,3),0)</f>
        <v>1792662.5</v>
      </c>
      <c r="AK138" s="139">
        <f t="shared" si="379"/>
        <v>3062863.1250000037</v>
      </c>
      <c r="AL138" s="139">
        <f t="shared" si="380"/>
        <v>1287774.9450000019</v>
      </c>
      <c r="AM138" s="139">
        <f>IF(AJ138&gt;0,AJ138+AK138+AL138,0)</f>
        <v>6143300.5700000059</v>
      </c>
      <c r="AN138" s="162">
        <f>IF(AP98&gt;0,+AP98,0)</f>
        <v>0</v>
      </c>
      <c r="AO138" s="140" t="str">
        <f>IF((AM138)&gt;0,IF(AN138&gt;0,AM138+AN138,""),"")</f>
        <v/>
      </c>
      <c r="AP138" s="225">
        <f>+MIN(AO138:AO142)</f>
        <v>49571587.121333376</v>
      </c>
      <c r="AQ138" s="129"/>
      <c r="AR138" s="163"/>
    </row>
    <row r="139" spans="1:44" x14ac:dyDescent="0.25">
      <c r="A139" s="230"/>
      <c r="B139" s="230"/>
      <c r="C139" s="230"/>
      <c r="D139" s="230"/>
      <c r="E139" s="141">
        <v>2</v>
      </c>
      <c r="F139" s="142">
        <f>+H103</f>
        <v>46.89</v>
      </c>
      <c r="G139" s="141">
        <v>4</v>
      </c>
      <c r="H139" s="142">
        <f>+H138</f>
        <v>44.89</v>
      </c>
      <c r="I139" s="142">
        <f>+I138</f>
        <v>75</v>
      </c>
      <c r="J139" s="143">
        <f t="shared" si="381"/>
        <v>2.6666666666666668E-2</v>
      </c>
      <c r="K139" s="142">
        <f>+K138</f>
        <v>1460</v>
      </c>
      <c r="L139" s="128">
        <f t="shared" si="382"/>
        <v>16.808499999999999</v>
      </c>
      <c r="M139" s="144">
        <f t="shared" ref="M139:M142" si="439">+L139/1000</f>
        <v>1.6808499999999997E-2</v>
      </c>
      <c r="N139" s="144">
        <f t="shared" si="355"/>
        <v>0.11737092153540797</v>
      </c>
      <c r="O139" s="144">
        <f t="shared" si="359"/>
        <v>4.6209024226538569</v>
      </c>
      <c r="P139" s="145">
        <f t="shared" si="236"/>
        <v>6</v>
      </c>
      <c r="Q139" s="113">
        <f>IF(O139&gt;0,VLOOKUP(P139,'$ alcantarillado'!$I$5:$L$22,4,FALSE),"0")</f>
        <v>0.14499999999999999</v>
      </c>
      <c r="R139" s="113">
        <f t="shared" si="360"/>
        <v>2.9535812741773318E-2</v>
      </c>
      <c r="S139" s="146">
        <f t="shared" si="361"/>
        <v>0.56908879220470099</v>
      </c>
      <c r="T139" s="145">
        <f>+IF(S139&gt;$B$13,VLOOKUP(P139,'$ alcantarillado'!$I$6:$N$22,5),P139)</f>
        <v>6</v>
      </c>
      <c r="U139" s="113">
        <f>IF(O139&gt;0,VLOOKUP(T139,'$ alcantarillado'!$I$5:$L$22,4),"0")</f>
        <v>0.14499999999999999</v>
      </c>
      <c r="V139" s="113">
        <f t="shared" si="356"/>
        <v>2.9535812741773318E-2</v>
      </c>
      <c r="W139" s="146">
        <f t="shared" si="362"/>
        <v>0.56908879220470099</v>
      </c>
      <c r="X139" s="146">
        <f t="shared" ref="X139:X142" si="440">IF(T139&gt;0,4*V139/(PI()*(U139)^2),"")</f>
        <v>1.7886404170615211</v>
      </c>
      <c r="Y139" s="113">
        <f>IF(T139&gt;0,(VLOOKUP($W139,Relaciones!$A$4:$D$108,2)),"")</f>
        <v>0.88</v>
      </c>
      <c r="Z139" s="146">
        <f t="shared" ref="Z139:Z142" si="441">IF(T139&gt;0,Y139*X139,"")</f>
        <v>1.5740035670141386</v>
      </c>
      <c r="AA139" s="146">
        <f t="shared" ref="AA139:AA142" si="442">IF(T139&gt;0,250*U139*J139,"")</f>
        <v>0.96666666666666667</v>
      </c>
      <c r="AB139" s="147" t="str">
        <f t="shared" ref="AB139:AB142" si="443">IF(T139&gt;0,IF(W139&lt;=$B$13,"OK","No Cumple"),"")</f>
        <v>OK</v>
      </c>
      <c r="AC139" s="147" t="str">
        <f t="shared" ref="AC139:AC142" si="444">IF(T139&gt;0,IF(Z139&gt;=$B$12,"OK","No Cumple"),"")</f>
        <v>OK</v>
      </c>
      <c r="AD139" s="147" t="str">
        <f t="shared" ref="AD139:AD142" si="445">IF(T139&gt;0,IF(AA139&gt;$B$14,"OK","No Cumple"),"")</f>
        <v>OK</v>
      </c>
      <c r="AE139" s="148">
        <f t="shared" ref="AE139:AE142" si="446">+IF(AB139="OK",1,0)</f>
        <v>1</v>
      </c>
      <c r="AF139" s="148">
        <f t="shared" ref="AF139:AF142" si="447">+IF(AC139="OK",1,0)</f>
        <v>1</v>
      </c>
      <c r="AG139" s="148">
        <f t="shared" ref="AG139:AG142" si="448">+IF(AD139="OK",1,0)</f>
        <v>1</v>
      </c>
      <c r="AH139" s="148">
        <f t="shared" ref="AH139:AH142" si="449">SUM(AE139:AG139)</f>
        <v>3</v>
      </c>
      <c r="AI139" s="147">
        <f t="shared" ref="AI139:AI142" si="450">IF(AH139=3,2*$B$7+U139,0)</f>
        <v>0.64500000000000002</v>
      </c>
      <c r="AJ139" s="149">
        <f>IF(AI139&gt;0,I139*VLOOKUP(T139,'$ alcantarillado'!$I$6:$K$22,3),0)</f>
        <v>1792662.5</v>
      </c>
      <c r="AK139" s="149">
        <f t="shared" si="379"/>
        <v>3498238.1250000042</v>
      </c>
      <c r="AL139" s="149">
        <f t="shared" si="380"/>
        <v>1636765.4450000019</v>
      </c>
      <c r="AM139" s="149">
        <f t="shared" si="395"/>
        <v>6927666.0700000059</v>
      </c>
      <c r="AN139" s="164">
        <f>+AP103</f>
        <v>0</v>
      </c>
      <c r="AO139" s="150" t="str">
        <f t="shared" ref="AO139:AO142" si="451">IF((AM139)&gt;0,IF(AN139&gt;0,AM139+AN139,""),"")</f>
        <v/>
      </c>
      <c r="AP139" s="226"/>
      <c r="AQ139" s="142"/>
      <c r="AR139" s="165"/>
    </row>
    <row r="140" spans="1:44" x14ac:dyDescent="0.25">
      <c r="A140" s="230"/>
      <c r="B140" s="230"/>
      <c r="C140" s="230"/>
      <c r="D140" s="230"/>
      <c r="E140" s="151">
        <v>3</v>
      </c>
      <c r="F140" s="142">
        <f>+H108</f>
        <v>46.39</v>
      </c>
      <c r="G140" s="151">
        <v>4</v>
      </c>
      <c r="H140" s="142">
        <f t="shared" ref="H140:H141" si="452">+H139</f>
        <v>44.89</v>
      </c>
      <c r="I140" s="142">
        <f t="shared" ref="I140" si="453">+I139</f>
        <v>75</v>
      </c>
      <c r="J140" s="143">
        <f t="shared" si="381"/>
        <v>0.02</v>
      </c>
      <c r="K140" s="142">
        <f t="shared" ref="K140:K141" si="454">+K139</f>
        <v>1460</v>
      </c>
      <c r="L140" s="128">
        <f t="shared" si="382"/>
        <v>16.808499999999999</v>
      </c>
      <c r="M140" s="144">
        <f t="shared" si="439"/>
        <v>1.6808499999999997E-2</v>
      </c>
      <c r="N140" s="144">
        <f t="shared" si="355"/>
        <v>0.12387581578857372</v>
      </c>
      <c r="O140" s="144">
        <f t="shared" si="359"/>
        <v>4.8770006215973911</v>
      </c>
      <c r="P140" s="145">
        <f t="shared" si="236"/>
        <v>6</v>
      </c>
      <c r="Q140" s="113">
        <f>IF(O140&gt;0,VLOOKUP(P140,'$ alcantarillado'!$I$5:$L$22,4,FALSE),"0")</f>
        <v>0.14499999999999999</v>
      </c>
      <c r="R140" s="113">
        <f t="shared" si="360"/>
        <v>2.55787641557958E-2</v>
      </c>
      <c r="S140" s="146">
        <f t="shared" si="361"/>
        <v>0.65712713474436646</v>
      </c>
      <c r="T140" s="145">
        <f>+IF(S140&gt;$B$13,VLOOKUP(P140,'$ alcantarillado'!$I$6:$N$22,5),P140)</f>
        <v>6</v>
      </c>
      <c r="U140" s="113">
        <f>IF(O140&gt;0,VLOOKUP(T140,'$ alcantarillado'!$I$5:$L$22,4),"0")</f>
        <v>0.14499999999999999</v>
      </c>
      <c r="V140" s="113">
        <f t="shared" si="356"/>
        <v>2.55787641557958E-2</v>
      </c>
      <c r="W140" s="146">
        <f t="shared" si="362"/>
        <v>0.65712713474436646</v>
      </c>
      <c r="X140" s="146">
        <f t="shared" si="440"/>
        <v>1.5490080394108703</v>
      </c>
      <c r="Y140" s="113">
        <f>IF(T140&gt;0,(VLOOKUP($W140,Relaciones!$A$4:$D$108,2)),"")</f>
        <v>0.92200000000000004</v>
      </c>
      <c r="Z140" s="146">
        <f t="shared" si="441"/>
        <v>1.4281854123368225</v>
      </c>
      <c r="AA140" s="146">
        <f t="shared" si="442"/>
        <v>0.72499999999999998</v>
      </c>
      <c r="AB140" s="147" t="str">
        <f t="shared" si="443"/>
        <v>OK</v>
      </c>
      <c r="AC140" s="147" t="str">
        <f t="shared" si="444"/>
        <v>OK</v>
      </c>
      <c r="AD140" s="147" t="str">
        <f t="shared" si="445"/>
        <v>OK</v>
      </c>
      <c r="AE140" s="148">
        <f t="shared" si="446"/>
        <v>1</v>
      </c>
      <c r="AF140" s="148">
        <f t="shared" si="447"/>
        <v>1</v>
      </c>
      <c r="AG140" s="148">
        <f t="shared" si="448"/>
        <v>1</v>
      </c>
      <c r="AH140" s="148">
        <f t="shared" si="449"/>
        <v>3</v>
      </c>
      <c r="AI140" s="147">
        <f t="shared" si="450"/>
        <v>0.64500000000000002</v>
      </c>
      <c r="AJ140" s="149">
        <f>IF(AI140&gt;0,I140*VLOOKUP(T140,'$ alcantarillado'!$I$6:$K$22,3),0)</f>
        <v>1792662.5</v>
      </c>
      <c r="AK140" s="149">
        <f t="shared" si="379"/>
        <v>3933613.1250000037</v>
      </c>
      <c r="AL140" s="149">
        <f t="shared" si="380"/>
        <v>1985755.9450000019</v>
      </c>
      <c r="AM140" s="149">
        <f t="shared" si="395"/>
        <v>7712031.5700000059</v>
      </c>
      <c r="AN140" s="164">
        <f>+AP108</f>
        <v>0</v>
      </c>
      <c r="AO140" s="150" t="str">
        <f t="shared" si="451"/>
        <v/>
      </c>
      <c r="AP140" s="227"/>
      <c r="AQ140" s="142">
        <v>4</v>
      </c>
      <c r="AR140" s="165">
        <v>4</v>
      </c>
    </row>
    <row r="141" spans="1:44" x14ac:dyDescent="0.25">
      <c r="A141" s="230"/>
      <c r="B141" s="230"/>
      <c r="C141" s="230"/>
      <c r="D141" s="230"/>
      <c r="E141" s="151">
        <v>4</v>
      </c>
      <c r="F141" s="142">
        <f>+H113</f>
        <v>45.89</v>
      </c>
      <c r="G141" s="151">
        <v>4</v>
      </c>
      <c r="H141" s="142">
        <f t="shared" si="452"/>
        <v>44.89</v>
      </c>
      <c r="I141" s="142">
        <f t="shared" ref="I141" si="455">+I140</f>
        <v>75</v>
      </c>
      <c r="J141" s="143">
        <f>+(F141-H141)/I141</f>
        <v>1.3333333333333334E-2</v>
      </c>
      <c r="K141" s="142">
        <f t="shared" si="454"/>
        <v>1460</v>
      </c>
      <c r="L141" s="128">
        <f t="shared" si="382"/>
        <v>16.808499999999999</v>
      </c>
      <c r="M141" s="144">
        <f t="shared" si="439"/>
        <v>1.6808499999999997E-2</v>
      </c>
      <c r="N141" s="144">
        <f t="shared" si="355"/>
        <v>0.13366067149544208</v>
      </c>
      <c r="O141" s="144">
        <f t="shared" si="359"/>
        <v>5.2622311612378772</v>
      </c>
      <c r="P141" s="145">
        <f t="shared" si="236"/>
        <v>6</v>
      </c>
      <c r="Q141" s="113">
        <f>IF(O141&gt;0,VLOOKUP(P141,'$ alcantarillado'!$I$5:$L$22,4,FALSE),"0")</f>
        <v>0.14499999999999999</v>
      </c>
      <c r="R141" s="113">
        <f t="shared" si="360"/>
        <v>2.0884973477563944E-2</v>
      </c>
      <c r="S141" s="146">
        <f t="shared" si="361"/>
        <v>0.80481308813041241</v>
      </c>
      <c r="T141" s="145">
        <f>+IF(S141&gt;$B$13,VLOOKUP(P141,'$ alcantarillado'!$I$6:$N$22,5),P141)</f>
        <v>6</v>
      </c>
      <c r="U141" s="113">
        <f>IF(O141&gt;0,VLOOKUP(T141,'$ alcantarillado'!$I$5:$L$22,4),"0")</f>
        <v>0.14499999999999999</v>
      </c>
      <c r="V141" s="113">
        <f t="shared" si="356"/>
        <v>2.0884973477563944E-2</v>
      </c>
      <c r="W141" s="146">
        <f t="shared" si="362"/>
        <v>0.80481308813041241</v>
      </c>
      <c r="X141" s="146">
        <f t="shared" si="440"/>
        <v>1.2647597680085358</v>
      </c>
      <c r="Y141" s="113">
        <f>IF(T141&gt;0,(VLOOKUP($W141,Relaciones!$A$4:$D$108,2)),"")</f>
        <v>0.98399999999999999</v>
      </c>
      <c r="Z141" s="146">
        <f t="shared" si="441"/>
        <v>1.2445236117203993</v>
      </c>
      <c r="AA141" s="146">
        <f t="shared" si="442"/>
        <v>0.48333333333333334</v>
      </c>
      <c r="AB141" s="147" t="str">
        <f t="shared" si="443"/>
        <v>OK</v>
      </c>
      <c r="AC141" s="147" t="str">
        <f t="shared" si="444"/>
        <v>OK</v>
      </c>
      <c r="AD141" s="147" t="str">
        <f t="shared" si="445"/>
        <v>OK</v>
      </c>
      <c r="AE141" s="148">
        <f t="shared" si="446"/>
        <v>1</v>
      </c>
      <c r="AF141" s="148">
        <f t="shared" si="447"/>
        <v>1</v>
      </c>
      <c r="AG141" s="148">
        <f t="shared" si="448"/>
        <v>1</v>
      </c>
      <c r="AH141" s="148">
        <f t="shared" si="449"/>
        <v>3</v>
      </c>
      <c r="AI141" s="147">
        <f t="shared" si="450"/>
        <v>0.64500000000000002</v>
      </c>
      <c r="AJ141" s="149">
        <f>IF(AI141&gt;0,I141*VLOOKUP(T141,'$ alcantarillado'!$I$6:$K$22,3),0)</f>
        <v>1792662.5</v>
      </c>
      <c r="AK141" s="149">
        <f t="shared" si="379"/>
        <v>4368988.1250000037</v>
      </c>
      <c r="AL141" s="149">
        <f t="shared" si="380"/>
        <v>2334746.4450000022</v>
      </c>
      <c r="AM141" s="149">
        <f t="shared" si="395"/>
        <v>8496397.0700000059</v>
      </c>
      <c r="AN141" s="164">
        <f>+AP113</f>
        <v>41075190.051333368</v>
      </c>
      <c r="AO141" s="161">
        <f t="shared" si="451"/>
        <v>49571587.121333376</v>
      </c>
      <c r="AP141" s="227"/>
      <c r="AQ141" s="142"/>
      <c r="AR141" s="165"/>
    </row>
    <row r="142" spans="1:44" ht="15.75" thickBot="1" x14ac:dyDescent="0.3">
      <c r="A142" s="230"/>
      <c r="B142" s="230"/>
      <c r="C142" s="230"/>
      <c r="D142" s="230"/>
      <c r="E142" s="152">
        <v>5</v>
      </c>
      <c r="F142" s="153">
        <f>+H118</f>
        <v>45.39</v>
      </c>
      <c r="G142" s="152">
        <v>4</v>
      </c>
      <c r="H142" s="154">
        <f>+H141</f>
        <v>44.89</v>
      </c>
      <c r="I142" s="154">
        <f>+I141</f>
        <v>75</v>
      </c>
      <c r="J142" s="155">
        <f t="shared" si="381"/>
        <v>6.6666666666666671E-3</v>
      </c>
      <c r="K142" s="154">
        <f>+K141</f>
        <v>1460</v>
      </c>
      <c r="L142" s="153">
        <f t="shared" si="382"/>
        <v>16.808499999999999</v>
      </c>
      <c r="M142" s="156">
        <f t="shared" si="439"/>
        <v>1.6808499999999997E-2</v>
      </c>
      <c r="N142" s="156">
        <f t="shared" si="355"/>
        <v>0.15221125361295712</v>
      </c>
      <c r="O142" s="156">
        <f t="shared" si="359"/>
        <v>5.9925690398802018</v>
      </c>
      <c r="P142" s="157">
        <f t="shared" si="236"/>
        <v>6</v>
      </c>
      <c r="Q142" s="113">
        <f>IF(O142&gt;0,VLOOKUP(P142,'$ alcantarillado'!$I$5:$L$22,4,FALSE),"0")</f>
        <v>0.14499999999999999</v>
      </c>
      <c r="R142" s="160">
        <f t="shared" si="360"/>
        <v>1.4767906370886659E-2</v>
      </c>
      <c r="S142" s="146">
        <f t="shared" si="361"/>
        <v>1.138177584409402</v>
      </c>
      <c r="T142" s="145">
        <f>+IF(S142&gt;$B$13,VLOOKUP(P142,'$ alcantarillado'!$I$6:$N$22,5),P142)</f>
        <v>8</v>
      </c>
      <c r="U142" s="113">
        <f>IF(O142&gt;0,VLOOKUP(T142,'$ alcantarillado'!$I$5:$L$22,4),"0")</f>
        <v>0.182</v>
      </c>
      <c r="V142" s="113">
        <f t="shared" si="356"/>
        <v>2.707247484885714E-2</v>
      </c>
      <c r="W142" s="146">
        <f t="shared" si="362"/>
        <v>0.62087046322289097</v>
      </c>
      <c r="X142" s="146">
        <f t="shared" si="440"/>
        <v>1.0406275072881599</v>
      </c>
      <c r="Y142" s="113">
        <f>IF(T142&gt;0,(VLOOKUP($W142,Relaciones!$A$4:$D$108,2)),"")</f>
        <v>0.90800000000000003</v>
      </c>
      <c r="Z142" s="146">
        <f t="shared" si="441"/>
        <v>0.94488977661764917</v>
      </c>
      <c r="AA142" s="146">
        <f t="shared" si="442"/>
        <v>0.30333333333333334</v>
      </c>
      <c r="AB142" s="147" t="str">
        <f t="shared" si="443"/>
        <v>OK</v>
      </c>
      <c r="AC142" s="147" t="str">
        <f t="shared" si="444"/>
        <v>OK</v>
      </c>
      <c r="AD142" s="147" t="str">
        <f t="shared" si="445"/>
        <v>OK</v>
      </c>
      <c r="AE142" s="148">
        <f t="shared" si="446"/>
        <v>1</v>
      </c>
      <c r="AF142" s="148">
        <f t="shared" si="447"/>
        <v>1</v>
      </c>
      <c r="AG142" s="148">
        <f t="shared" si="448"/>
        <v>1</v>
      </c>
      <c r="AH142" s="148">
        <f t="shared" si="449"/>
        <v>3</v>
      </c>
      <c r="AI142" s="147">
        <f t="shared" si="450"/>
        <v>0.68199999999999994</v>
      </c>
      <c r="AJ142" s="158">
        <f>IF(AI142&gt;0,I142*VLOOKUP(T142,'$ alcantarillado'!$I$6:$K$22,3),0)</f>
        <v>2488675</v>
      </c>
      <c r="AK142" s="149">
        <f t="shared" si="379"/>
        <v>5131061.1000000024</v>
      </c>
      <c r="AL142" s="149">
        <f t="shared" si="380"/>
        <v>2709562.2420000019</v>
      </c>
      <c r="AM142" s="158">
        <f t="shared" si="395"/>
        <v>10329298.342000004</v>
      </c>
      <c r="AN142" s="167">
        <f>+AP118</f>
        <v>40243953.58100003</v>
      </c>
      <c r="AO142" s="159">
        <f t="shared" si="451"/>
        <v>50573251.923000038</v>
      </c>
      <c r="AP142" s="228"/>
      <c r="AQ142" s="154"/>
      <c r="AR142" s="166"/>
    </row>
    <row r="143" spans="1:44" x14ac:dyDescent="0.25">
      <c r="A143" s="230"/>
      <c r="B143" s="230"/>
      <c r="C143" s="230"/>
      <c r="D143" s="230"/>
      <c r="E143" s="127">
        <v>1</v>
      </c>
      <c r="F143" s="129">
        <f>+H98</f>
        <v>47.39</v>
      </c>
      <c r="G143" s="127">
        <v>5</v>
      </c>
      <c r="H143" s="132">
        <f>+H138-$B$4</f>
        <v>44.39</v>
      </c>
      <c r="I143" s="142">
        <f>+I138</f>
        <v>75</v>
      </c>
      <c r="J143" s="143">
        <f>+(F143-H143)/I143</f>
        <v>0.04</v>
      </c>
      <c r="K143" s="142">
        <f>+K138</f>
        <v>1460</v>
      </c>
      <c r="L143" s="132">
        <f>IF(K143&lt;38,K143^0.3686*0.7401,IF(K143&lt;235,K143^0.4193*0.6215,IF(K143&lt;932,K143*0.0092+4.2493,K143*0.0069+6.7345)))</f>
        <v>16.808499999999999</v>
      </c>
      <c r="M143" s="133">
        <f>+L143/1000</f>
        <v>1.6808499999999997E-2</v>
      </c>
      <c r="N143" s="133">
        <f t="shared" si="355"/>
        <v>0.10877858454834374</v>
      </c>
      <c r="O143" s="133">
        <f t="shared" si="359"/>
        <v>4.2826214389111712</v>
      </c>
      <c r="P143" s="134">
        <f t="shared" si="236"/>
        <v>6</v>
      </c>
      <c r="Q143" s="135">
        <f>IF(O143&gt;0,VLOOKUP(P143,'$ alcantarillado'!$I$5:$L$22,4,FALSE),"0")</f>
        <v>0.14499999999999999</v>
      </c>
      <c r="R143" s="135">
        <f t="shared" si="360"/>
        <v>3.6173835177869214E-2</v>
      </c>
      <c r="S143" s="136">
        <f t="shared" si="361"/>
        <v>0.46465905307942762</v>
      </c>
      <c r="T143" s="134">
        <f>+IF(S143&gt;$B$13,VLOOKUP(P143,'$ alcantarillado'!$I$6:$N$22,5),P143)</f>
        <v>6</v>
      </c>
      <c r="U143" s="135">
        <f>IF(O143&gt;0,VLOOKUP(T143,'$ alcantarillado'!$I$5:$L$22,4),"0")</f>
        <v>0.14499999999999999</v>
      </c>
      <c r="V143" s="135">
        <f t="shared" si="356"/>
        <v>3.6173835177869214E-2</v>
      </c>
      <c r="W143" s="136">
        <f t="shared" si="362"/>
        <v>0.46465905307942762</v>
      </c>
      <c r="X143" s="136">
        <f>IF(T143&gt;0,4*V143/(PI()*(U143)^2),"")</f>
        <v>2.1906281775598107</v>
      </c>
      <c r="Y143" s="135">
        <f>IF(T143&gt;0,(VLOOKUP($W143,Relaciones!$A$4:$D$108,2)),"")</f>
        <v>0.83</v>
      </c>
      <c r="Z143" s="136">
        <f>IF(T143&gt;0,Y143*X143,"")</f>
        <v>1.8182213873746427</v>
      </c>
      <c r="AA143" s="136">
        <f>IF(T143&gt;0,250*U143*J143,"")</f>
        <v>1.45</v>
      </c>
      <c r="AB143" s="137" t="str">
        <f>IF(T143&gt;0,IF(W143&lt;=$B$13,"OK","No Cumple"),"")</f>
        <v>OK</v>
      </c>
      <c r="AC143" s="137" t="str">
        <f>IF(T143&gt;0,IF(Z143&gt;=$B$12,"OK","No Cumple"),"")</f>
        <v>OK</v>
      </c>
      <c r="AD143" s="137" t="str">
        <f>IF(T143&gt;0,IF(AA143&gt;$B$14,"OK","No Cumple"),"")</f>
        <v>OK</v>
      </c>
      <c r="AE143" s="138">
        <f>+IF(AB143="OK",1,0)</f>
        <v>1</v>
      </c>
      <c r="AF143" s="138">
        <f>+IF(AC143="OK",1,0)</f>
        <v>1</v>
      </c>
      <c r="AG143" s="138">
        <f>+IF(AD143="OK",1,0)</f>
        <v>1</v>
      </c>
      <c r="AH143" s="138">
        <f>SUM(AE143:AG143)</f>
        <v>3</v>
      </c>
      <c r="AI143" s="137">
        <f>IF(AH143=3,2*$B$7+U143,0)</f>
        <v>0.64500000000000002</v>
      </c>
      <c r="AJ143" s="139">
        <f>IF(AI143&gt;0,I143*VLOOKUP(T143,'$ alcantarillado'!$I$6:$K$22,3),0)</f>
        <v>1792662.5</v>
      </c>
      <c r="AK143" s="139">
        <f t="shared" si="379"/>
        <v>3280550.6250000042</v>
      </c>
      <c r="AL143" s="139">
        <f t="shared" si="380"/>
        <v>1287774.9450000019</v>
      </c>
      <c r="AM143" s="139">
        <f>IF(AJ143&gt;0,AJ143+AK143+AL143,0)</f>
        <v>6360988.0700000059</v>
      </c>
      <c r="AN143" s="162">
        <f>IF(AP98&gt;0,+AP98,0)</f>
        <v>0</v>
      </c>
      <c r="AO143" s="140" t="str">
        <f>IF((AM143)&gt;0,IF(AN143&gt;0,AM143+AN143,""),"")</f>
        <v/>
      </c>
      <c r="AP143" s="217">
        <f t="shared" ref="AP143" si="456">+MIN(AO143:AO147)</f>
        <v>49742403.651000038</v>
      </c>
      <c r="AQ143" s="142"/>
      <c r="AR143" s="165"/>
    </row>
    <row r="144" spans="1:44" x14ac:dyDescent="0.25">
      <c r="A144" s="230"/>
      <c r="B144" s="230"/>
      <c r="C144" s="230"/>
      <c r="D144" s="230"/>
      <c r="E144" s="141">
        <v>2</v>
      </c>
      <c r="F144" s="142">
        <f>+H103</f>
        <v>46.89</v>
      </c>
      <c r="G144" s="141">
        <v>5</v>
      </c>
      <c r="H144" s="128">
        <f>+H143</f>
        <v>44.39</v>
      </c>
      <c r="I144" s="142">
        <f>+I143</f>
        <v>75</v>
      </c>
      <c r="J144" s="143">
        <f t="shared" si="381"/>
        <v>3.3333333333333333E-2</v>
      </c>
      <c r="K144" s="142">
        <f>+K143</f>
        <v>1460</v>
      </c>
      <c r="L144" s="128">
        <f t="shared" si="382"/>
        <v>16.808499999999999</v>
      </c>
      <c r="M144" s="144">
        <f t="shared" ref="M144:M147" si="457">+L144/1000</f>
        <v>1.6808499999999997E-2</v>
      </c>
      <c r="N144" s="144">
        <f t="shared" si="355"/>
        <v>0.1125615039180171</v>
      </c>
      <c r="O144" s="144">
        <f t="shared" si="359"/>
        <v>4.4315552723628784</v>
      </c>
      <c r="P144" s="145">
        <f t="shared" si="236"/>
        <v>6</v>
      </c>
      <c r="Q144" s="113">
        <f>IF(O144&gt;0,VLOOKUP(P144,'$ alcantarillado'!$I$5:$L$22,4,FALSE),"0")</f>
        <v>0.14499999999999999</v>
      </c>
      <c r="R144" s="113">
        <f t="shared" si="360"/>
        <v>3.3022042530654785E-2</v>
      </c>
      <c r="S144" s="146">
        <f t="shared" si="361"/>
        <v>0.50900848984118563</v>
      </c>
      <c r="T144" s="145">
        <f>+IF(S144&gt;$B$13,VLOOKUP(P144,'$ alcantarillado'!$I$6:$N$22,5),P144)</f>
        <v>6</v>
      </c>
      <c r="U144" s="113">
        <f>IF(O144&gt;0,VLOOKUP(T144,'$ alcantarillado'!$I$5:$L$22,4),"0")</f>
        <v>0.14499999999999999</v>
      </c>
      <c r="V144" s="113">
        <f t="shared" si="356"/>
        <v>3.3022042530654785E-2</v>
      </c>
      <c r="W144" s="146">
        <f t="shared" si="362"/>
        <v>0.50900848984118563</v>
      </c>
      <c r="X144" s="146">
        <f t="shared" ref="X144:X147" si="458">IF(T144&gt;0,4*V144/(PI()*(U144)^2),"")</f>
        <v>1.9997607799265675</v>
      </c>
      <c r="Y144" s="113">
        <f>IF(T144&gt;0,(VLOOKUP($W144,Relaciones!$A$4:$D$108,2)),"")</f>
        <v>0.85</v>
      </c>
      <c r="Z144" s="146">
        <f t="shared" ref="Z144:Z147" si="459">IF(T144&gt;0,Y144*X144,"")</f>
        <v>1.6997966629375822</v>
      </c>
      <c r="AA144" s="146">
        <f t="shared" ref="AA144:AA147" si="460">IF(T144&gt;0,250*U144*J144,"")</f>
        <v>1.2083333333333333</v>
      </c>
      <c r="AB144" s="147" t="str">
        <f t="shared" ref="AB144:AB147" si="461">IF(T144&gt;0,IF(W144&lt;=$B$13,"OK","No Cumple"),"")</f>
        <v>OK</v>
      </c>
      <c r="AC144" s="147" t="str">
        <f t="shared" ref="AC144:AC147" si="462">IF(T144&gt;0,IF(Z144&gt;=$B$12,"OK","No Cumple"),"")</f>
        <v>OK</v>
      </c>
      <c r="AD144" s="147" t="str">
        <f t="shared" ref="AD144:AD147" si="463">IF(T144&gt;0,IF(AA144&gt;$B$14,"OK","No Cumple"),"")</f>
        <v>OK</v>
      </c>
      <c r="AE144" s="148">
        <f t="shared" ref="AE144:AE147" si="464">+IF(AB144="OK",1,0)</f>
        <v>1</v>
      </c>
      <c r="AF144" s="148">
        <f t="shared" ref="AF144:AF147" si="465">+IF(AC144="OK",1,0)</f>
        <v>1</v>
      </c>
      <c r="AG144" s="148">
        <f t="shared" ref="AG144:AG147" si="466">+IF(AD144="OK",1,0)</f>
        <v>1</v>
      </c>
      <c r="AH144" s="148">
        <f t="shared" ref="AH144:AH147" si="467">SUM(AE144:AG144)</f>
        <v>3</v>
      </c>
      <c r="AI144" s="147">
        <f t="shared" ref="AI144:AI147" si="468">IF(AH144=3,2*$B$7+U144,0)</f>
        <v>0.64500000000000002</v>
      </c>
      <c r="AJ144" s="149">
        <f>IF(AI144&gt;0,I144*VLOOKUP(T144,'$ alcantarillado'!$I$6:$K$22,3),0)</f>
        <v>1792662.5</v>
      </c>
      <c r="AK144" s="149">
        <f t="shared" si="379"/>
        <v>3715925.6250000042</v>
      </c>
      <c r="AL144" s="149">
        <f t="shared" si="380"/>
        <v>1636765.4450000019</v>
      </c>
      <c r="AM144" s="149">
        <f t="shared" si="395"/>
        <v>7145353.5700000059</v>
      </c>
      <c r="AN144" s="164">
        <f>+AP103</f>
        <v>0</v>
      </c>
      <c r="AO144" s="150" t="str">
        <f t="shared" ref="AO144:AO147" si="469">IF((AM144)&gt;0,IF(AN144&gt;0,AM144+AN144,""),"")</f>
        <v/>
      </c>
      <c r="AP144" s="218"/>
      <c r="AQ144" s="142"/>
      <c r="AR144" s="165"/>
    </row>
    <row r="145" spans="1:44" x14ac:dyDescent="0.25">
      <c r="A145" s="230"/>
      <c r="B145" s="230"/>
      <c r="C145" s="230"/>
      <c r="D145" s="230"/>
      <c r="E145" s="151">
        <v>3</v>
      </c>
      <c r="F145" s="142">
        <f>+H108</f>
        <v>46.39</v>
      </c>
      <c r="G145" s="151">
        <v>5</v>
      </c>
      <c r="H145" s="128">
        <f t="shared" ref="H145:H146" si="470">+H144</f>
        <v>44.39</v>
      </c>
      <c r="I145" s="142">
        <f t="shared" ref="I145" si="471">+I144</f>
        <v>75</v>
      </c>
      <c r="J145" s="143">
        <f t="shared" si="381"/>
        <v>2.6666666666666668E-2</v>
      </c>
      <c r="K145" s="142">
        <f t="shared" ref="K145:K146" si="472">+K144</f>
        <v>1460</v>
      </c>
      <c r="L145" s="128">
        <f t="shared" si="382"/>
        <v>16.808499999999999</v>
      </c>
      <c r="M145" s="144">
        <f t="shared" si="457"/>
        <v>1.6808499999999997E-2</v>
      </c>
      <c r="N145" s="144">
        <f t="shared" si="355"/>
        <v>0.11737092153540797</v>
      </c>
      <c r="O145" s="144">
        <f t="shared" si="359"/>
        <v>4.6209024226538569</v>
      </c>
      <c r="P145" s="145">
        <f t="shared" si="236"/>
        <v>6</v>
      </c>
      <c r="Q145" s="113">
        <f>IF(O145&gt;0,VLOOKUP(P145,'$ alcantarillado'!$I$5:$L$22,4,FALSE),"0")</f>
        <v>0.14499999999999999</v>
      </c>
      <c r="R145" s="113">
        <f t="shared" si="360"/>
        <v>2.9535812741773318E-2</v>
      </c>
      <c r="S145" s="146">
        <f t="shared" si="361"/>
        <v>0.56908879220470099</v>
      </c>
      <c r="T145" s="145">
        <f>+IF(S145&gt;$B$13,VLOOKUP(P145,'$ alcantarillado'!$I$6:$N$22,5),P145)</f>
        <v>6</v>
      </c>
      <c r="U145" s="113">
        <f>IF(O145&gt;0,VLOOKUP(T145,'$ alcantarillado'!$I$5:$L$22,4),"0")</f>
        <v>0.14499999999999999</v>
      </c>
      <c r="V145" s="113">
        <f t="shared" si="356"/>
        <v>2.9535812741773318E-2</v>
      </c>
      <c r="W145" s="146">
        <f t="shared" si="362"/>
        <v>0.56908879220470099</v>
      </c>
      <c r="X145" s="146">
        <f t="shared" si="458"/>
        <v>1.7886404170615211</v>
      </c>
      <c r="Y145" s="113">
        <f>IF(T145&gt;0,(VLOOKUP($W145,Relaciones!$A$4:$D$108,2)),"")</f>
        <v>0.88</v>
      </c>
      <c r="Z145" s="146">
        <f t="shared" si="459"/>
        <v>1.5740035670141386</v>
      </c>
      <c r="AA145" s="146">
        <f t="shared" si="460"/>
        <v>0.96666666666666667</v>
      </c>
      <c r="AB145" s="147" t="str">
        <f t="shared" si="461"/>
        <v>OK</v>
      </c>
      <c r="AC145" s="147" t="str">
        <f t="shared" si="462"/>
        <v>OK</v>
      </c>
      <c r="AD145" s="147" t="str">
        <f t="shared" si="463"/>
        <v>OK</v>
      </c>
      <c r="AE145" s="148">
        <f t="shared" si="464"/>
        <v>1</v>
      </c>
      <c r="AF145" s="148">
        <f t="shared" si="465"/>
        <v>1</v>
      </c>
      <c r="AG145" s="148">
        <f t="shared" si="466"/>
        <v>1</v>
      </c>
      <c r="AH145" s="148">
        <f t="shared" si="467"/>
        <v>3</v>
      </c>
      <c r="AI145" s="147">
        <f t="shared" si="468"/>
        <v>0.64500000000000002</v>
      </c>
      <c r="AJ145" s="149">
        <f>IF(AI145&gt;0,I145*VLOOKUP(T145,'$ alcantarillado'!$I$6:$K$22,3),0)</f>
        <v>1792662.5</v>
      </c>
      <c r="AK145" s="149">
        <f t="shared" si="379"/>
        <v>4151300.6250000042</v>
      </c>
      <c r="AL145" s="149">
        <f t="shared" si="380"/>
        <v>1985755.9450000019</v>
      </c>
      <c r="AM145" s="149">
        <f t="shared" si="395"/>
        <v>7929719.0700000059</v>
      </c>
      <c r="AN145" s="164">
        <f>+AP108</f>
        <v>0</v>
      </c>
      <c r="AO145" s="150" t="str">
        <f t="shared" si="469"/>
        <v/>
      </c>
      <c r="AP145" s="219"/>
      <c r="AQ145" s="142">
        <v>5</v>
      </c>
      <c r="AR145" s="165">
        <v>5</v>
      </c>
    </row>
    <row r="146" spans="1:44" x14ac:dyDescent="0.25">
      <c r="A146" s="230"/>
      <c r="B146" s="230"/>
      <c r="C146" s="230"/>
      <c r="D146" s="230"/>
      <c r="E146" s="151">
        <v>4</v>
      </c>
      <c r="F146" s="142">
        <f>+H113</f>
        <v>45.89</v>
      </c>
      <c r="G146" s="151">
        <v>5</v>
      </c>
      <c r="H146" s="128">
        <f t="shared" si="470"/>
        <v>44.39</v>
      </c>
      <c r="I146" s="142">
        <f t="shared" ref="I146" si="473">+I145</f>
        <v>75</v>
      </c>
      <c r="J146" s="143">
        <f>+(F146-H146)/I146</f>
        <v>0.02</v>
      </c>
      <c r="K146" s="142">
        <f t="shared" si="472"/>
        <v>1460</v>
      </c>
      <c r="L146" s="128">
        <f t="shared" si="382"/>
        <v>16.808499999999999</v>
      </c>
      <c r="M146" s="144">
        <f t="shared" si="457"/>
        <v>1.6808499999999997E-2</v>
      </c>
      <c r="N146" s="144">
        <f t="shared" si="355"/>
        <v>0.12387581578857372</v>
      </c>
      <c r="O146" s="144">
        <f t="shared" si="359"/>
        <v>4.8770006215973911</v>
      </c>
      <c r="P146" s="145">
        <f t="shared" si="236"/>
        <v>6</v>
      </c>
      <c r="Q146" s="113">
        <f>IF(O146&gt;0,VLOOKUP(P146,'$ alcantarillado'!$I$5:$L$22,4,FALSE),"0")</f>
        <v>0.14499999999999999</v>
      </c>
      <c r="R146" s="113">
        <f t="shared" si="360"/>
        <v>2.55787641557958E-2</v>
      </c>
      <c r="S146" s="146">
        <f t="shared" si="361"/>
        <v>0.65712713474436646</v>
      </c>
      <c r="T146" s="145">
        <f>+IF(S146&gt;$B$13,VLOOKUP(P146,'$ alcantarillado'!$I$6:$N$22,5),P146)</f>
        <v>6</v>
      </c>
      <c r="U146" s="113">
        <f>IF(O146&gt;0,VLOOKUP(T146,'$ alcantarillado'!$I$5:$L$22,4),"0")</f>
        <v>0.14499999999999999</v>
      </c>
      <c r="V146" s="113">
        <f t="shared" si="356"/>
        <v>2.55787641557958E-2</v>
      </c>
      <c r="W146" s="146">
        <f t="shared" si="362"/>
        <v>0.65712713474436646</v>
      </c>
      <c r="X146" s="146">
        <f t="shared" si="458"/>
        <v>1.5490080394108703</v>
      </c>
      <c r="Y146" s="113">
        <f>IF(T146&gt;0,(VLOOKUP($W146,Relaciones!$A$4:$D$108,2)),"")</f>
        <v>0.92200000000000004</v>
      </c>
      <c r="Z146" s="146">
        <f t="shared" si="459"/>
        <v>1.4281854123368225</v>
      </c>
      <c r="AA146" s="146">
        <f t="shared" si="460"/>
        <v>0.72499999999999998</v>
      </c>
      <c r="AB146" s="147" t="str">
        <f t="shared" si="461"/>
        <v>OK</v>
      </c>
      <c r="AC146" s="147" t="str">
        <f t="shared" si="462"/>
        <v>OK</v>
      </c>
      <c r="AD146" s="147" t="str">
        <f t="shared" si="463"/>
        <v>OK</v>
      </c>
      <c r="AE146" s="148">
        <f t="shared" si="464"/>
        <v>1</v>
      </c>
      <c r="AF146" s="148">
        <f t="shared" si="465"/>
        <v>1</v>
      </c>
      <c r="AG146" s="148">
        <f t="shared" si="466"/>
        <v>1</v>
      </c>
      <c r="AH146" s="148">
        <f t="shared" si="467"/>
        <v>3</v>
      </c>
      <c r="AI146" s="147">
        <f t="shared" si="468"/>
        <v>0.64500000000000002</v>
      </c>
      <c r="AJ146" s="149">
        <f>IF(AI146&gt;0,I146*VLOOKUP(T146,'$ alcantarillado'!$I$6:$K$22,3),0)</f>
        <v>1792662.5</v>
      </c>
      <c r="AK146" s="149">
        <f t="shared" si="379"/>
        <v>4586675.6250000037</v>
      </c>
      <c r="AL146" s="149">
        <f t="shared" si="380"/>
        <v>2334746.4450000022</v>
      </c>
      <c r="AM146" s="149">
        <f t="shared" si="395"/>
        <v>8714084.5700000059</v>
      </c>
      <c r="AN146" s="164">
        <f>+AP113</f>
        <v>41075190.051333368</v>
      </c>
      <c r="AO146" s="150">
        <f t="shared" si="469"/>
        <v>49789274.621333376</v>
      </c>
      <c r="AP146" s="219"/>
      <c r="AQ146" s="142"/>
      <c r="AR146" s="165"/>
    </row>
    <row r="147" spans="1:44" ht="15.75" thickBot="1" x14ac:dyDescent="0.3">
      <c r="A147" s="231"/>
      <c r="B147" s="231"/>
      <c r="C147" s="231"/>
      <c r="D147" s="231"/>
      <c r="E147" s="152">
        <v>5</v>
      </c>
      <c r="F147" s="153">
        <f>+H118</f>
        <v>45.39</v>
      </c>
      <c r="G147" s="152">
        <v>5</v>
      </c>
      <c r="H147" s="153">
        <f>+H146</f>
        <v>44.39</v>
      </c>
      <c r="I147" s="154">
        <f>+I146</f>
        <v>75</v>
      </c>
      <c r="J147" s="155">
        <f t="shared" si="381"/>
        <v>1.3333333333333334E-2</v>
      </c>
      <c r="K147" s="154">
        <f>+K146</f>
        <v>1460</v>
      </c>
      <c r="L147" s="153">
        <f t="shared" si="382"/>
        <v>16.808499999999999</v>
      </c>
      <c r="M147" s="156">
        <f t="shared" si="457"/>
        <v>1.6808499999999997E-2</v>
      </c>
      <c r="N147" s="156">
        <f t="shared" si="355"/>
        <v>0.13366067149544208</v>
      </c>
      <c r="O147" s="156">
        <f t="shared" si="359"/>
        <v>5.2622311612378772</v>
      </c>
      <c r="P147" s="157">
        <f t="shared" si="236"/>
        <v>6</v>
      </c>
      <c r="Q147" s="160">
        <f>IF(O147&gt;0,VLOOKUP(P147,'$ alcantarillado'!$I$5:$L$22,4,FALSE),"0")</f>
        <v>0.14499999999999999</v>
      </c>
      <c r="R147" s="160">
        <f t="shared" si="360"/>
        <v>2.0884973477563944E-2</v>
      </c>
      <c r="S147" s="168">
        <f t="shared" si="361"/>
        <v>0.80481308813041241</v>
      </c>
      <c r="T147" s="157">
        <f>+IF(S147&gt;$B$13,VLOOKUP(P147,'$ alcantarillado'!$I$6:$N$22,5),P147)</f>
        <v>6</v>
      </c>
      <c r="U147" s="160">
        <f>IF(O147&gt;0,VLOOKUP(T147,'$ alcantarillado'!$I$5:$L$22,4),"0")</f>
        <v>0.14499999999999999</v>
      </c>
      <c r="V147" s="160">
        <f t="shared" si="356"/>
        <v>2.0884973477563944E-2</v>
      </c>
      <c r="W147" s="169">
        <f t="shared" si="362"/>
        <v>0.80481308813041241</v>
      </c>
      <c r="X147" s="169">
        <f t="shared" si="458"/>
        <v>1.2647597680085358</v>
      </c>
      <c r="Y147" s="160">
        <f>IF(T147&gt;0,(VLOOKUP($W147,Relaciones!$A$4:$D$108,2)),"")</f>
        <v>0.98399999999999999</v>
      </c>
      <c r="Z147" s="169">
        <f t="shared" si="459"/>
        <v>1.2445236117203993</v>
      </c>
      <c r="AA147" s="169">
        <f t="shared" si="460"/>
        <v>0.48333333333333334</v>
      </c>
      <c r="AB147" s="170" t="str">
        <f t="shared" si="461"/>
        <v>OK</v>
      </c>
      <c r="AC147" s="170" t="str">
        <f t="shared" si="462"/>
        <v>OK</v>
      </c>
      <c r="AD147" s="170" t="str">
        <f t="shared" si="463"/>
        <v>OK</v>
      </c>
      <c r="AE147" s="171">
        <f t="shared" si="464"/>
        <v>1</v>
      </c>
      <c r="AF147" s="171">
        <f t="shared" si="465"/>
        <v>1</v>
      </c>
      <c r="AG147" s="171">
        <f t="shared" si="466"/>
        <v>1</v>
      </c>
      <c r="AH147" s="171">
        <f t="shared" si="467"/>
        <v>3</v>
      </c>
      <c r="AI147" s="170">
        <f t="shared" si="468"/>
        <v>0.64500000000000002</v>
      </c>
      <c r="AJ147" s="158">
        <f>IF(AI147&gt;0,I147*VLOOKUP(T147,'$ alcantarillado'!$I$6:$K$22,3),0)</f>
        <v>1792662.5</v>
      </c>
      <c r="AK147" s="158">
        <f t="shared" si="379"/>
        <v>5022050.6250000037</v>
      </c>
      <c r="AL147" s="158">
        <f t="shared" si="380"/>
        <v>2683736.9450000022</v>
      </c>
      <c r="AM147" s="158">
        <f t="shared" si="395"/>
        <v>9498450.0700000059</v>
      </c>
      <c r="AN147" s="167">
        <f>+AP118</f>
        <v>40243953.58100003</v>
      </c>
      <c r="AO147" s="159">
        <f t="shared" si="469"/>
        <v>49742403.651000038</v>
      </c>
      <c r="AP147" s="220"/>
      <c r="AQ147" s="172"/>
      <c r="AR147" s="166"/>
    </row>
    <row r="148" spans="1:44" x14ac:dyDescent="0.25">
      <c r="A148" s="52"/>
      <c r="B148" s="52"/>
      <c r="C148" s="52"/>
      <c r="D148" s="53">
        <v>48.09</v>
      </c>
    </row>
    <row r="149" spans="1:44" x14ac:dyDescent="0.25">
      <c r="A149" s="52"/>
      <c r="B149" s="52"/>
      <c r="C149" s="52"/>
    </row>
    <row r="150" spans="1:44" ht="15.75" thickBot="1" x14ac:dyDescent="0.3"/>
    <row r="151" spans="1:44" x14ac:dyDescent="0.25">
      <c r="A151" s="229">
        <v>6</v>
      </c>
      <c r="B151" s="229">
        <v>3</v>
      </c>
      <c r="C151" s="229">
        <v>4</v>
      </c>
      <c r="D151" s="229">
        <v>48.83</v>
      </c>
      <c r="E151" s="127">
        <v>1</v>
      </c>
      <c r="F151" s="132">
        <f>+$D$151-$B$5</f>
        <v>47.629999999999995</v>
      </c>
      <c r="G151" s="127">
        <v>1</v>
      </c>
      <c r="H151" s="129">
        <f>+$D$176-$B$5-$B$4</f>
        <v>47.32</v>
      </c>
      <c r="I151" s="129">
        <v>80</v>
      </c>
      <c r="J151" s="130">
        <f>+(F151-H151)/I151</f>
        <v>3.8749999999999397E-3</v>
      </c>
      <c r="K151" s="138">
        <f>6*H4</f>
        <v>948</v>
      </c>
      <c r="L151" s="132">
        <f>IF(K151&lt;38,K151^0.3686*0.7401,IF(K151&lt;235,K151^0.4193*0.6215,IF(K151&lt;932,K151*0.0092+4.2493,K151*0.0069+6.7345)))</f>
        <v>13.275700000000001</v>
      </c>
      <c r="M151" s="133">
        <f>+L151/1000</f>
        <v>1.32757E-2</v>
      </c>
      <c r="N151" s="133">
        <f t="shared" ref="N151:N200" si="474">+IF(J151&gt;0,((M151*$B$2*(4^(5/3))/((J151^0.5)*PI()*$B$6))^(3/8)),0)</f>
        <v>0.15424172849385967</v>
      </c>
      <c r="O151" s="133">
        <f t="shared" ref="O151:O182" si="475">+N151*(100/2.54)</f>
        <v>6.0725089958212468</v>
      </c>
      <c r="P151" s="134">
        <f t="shared" ref="P151:P200" si="476">IF(O151&lt;0.1,0,IF(O151&lt;4,6,EVEN(O151)))</f>
        <v>8</v>
      </c>
      <c r="Q151" s="135">
        <f>IF(O151&gt;0,VLOOKUP(P151,'$ alcantarillado'!$I$5:$L$22,4,FALSE),"0")</f>
        <v>0.182</v>
      </c>
      <c r="R151" s="135">
        <f t="shared" ref="R151:R182" si="477">IF(P151&gt;0,PI()*((Q151)^(8/3))*((J151)^0.5)/($B$2*4^(5/3)),"")</f>
        <v>2.0639988066721529E-2</v>
      </c>
      <c r="S151" s="136">
        <f t="shared" ref="S151:S182" si="478">IF(P151&gt;0,+M151/R151,0)</f>
        <v>0.6432028912557759</v>
      </c>
      <c r="T151" s="134">
        <f>+IF(S151&gt;$B$13,VLOOKUP(P151,'$ alcantarillado'!$I$6:$N$22,5),P151)</f>
        <v>8</v>
      </c>
      <c r="U151" s="135">
        <f>IF(O151&gt;0,VLOOKUP(T151,'$ alcantarillado'!$I$5:$L$22,4),"0")</f>
        <v>0.182</v>
      </c>
      <c r="V151" s="135">
        <f t="shared" ref="V151:V200" si="479">IF(T151&gt;0,PI()*((U151)^(8/3))*((J151)^0.5)/($B$2*4^(5/3)),"")</f>
        <v>2.0639988066721529E-2</v>
      </c>
      <c r="W151" s="136">
        <f t="shared" ref="W151:W182" si="480">IF(T151&gt;0,M151/V151,0)</f>
        <v>0.6432028912557759</v>
      </c>
      <c r="X151" s="136">
        <f>IF(T151&gt;0,4*V151/(PI()*(U151)^2),"")</f>
        <v>0.79337184547191486</v>
      </c>
      <c r="Y151" s="135">
        <f>IF(T151&gt;0,(VLOOKUP($W151,Relaciones!$A$4:$D$108,2)),"")</f>
        <v>0.91800000000000004</v>
      </c>
      <c r="Z151" s="136">
        <f>IF(T151&gt;0,Y151*X151,"")</f>
        <v>0.72831535414321791</v>
      </c>
      <c r="AA151" s="136">
        <f>IF(T151&gt;0,250*U151*J151,"")</f>
        <v>0.17631249999999726</v>
      </c>
      <c r="AB151" s="137" t="str">
        <f>IF(T151&gt;0,IF(W151&lt;=$B$13,"OK","No Cumple"),"")</f>
        <v>OK</v>
      </c>
      <c r="AC151" s="137" t="str">
        <f>IF(T151&gt;0,IF(Z151&gt;=$B$12,"OK","No Cumple"),"")</f>
        <v>OK</v>
      </c>
      <c r="AD151" s="137" t="str">
        <f>IF(T151&gt;0,IF(AA151&gt;$B$14,"OK","No Cumple"),"")</f>
        <v>OK</v>
      </c>
      <c r="AE151" s="138">
        <f>+IF(AB151="OK",1,0)</f>
        <v>1</v>
      </c>
      <c r="AF151" s="138">
        <f>+IF(AC151="OK",1,0)</f>
        <v>1</v>
      </c>
      <c r="AG151" s="138">
        <f>+IF(AD151="OK",1,0)</f>
        <v>1</v>
      </c>
      <c r="AH151" s="138">
        <f>SUM(AE151:AG151)</f>
        <v>3</v>
      </c>
      <c r="AI151" s="137">
        <f>IF(AH151=3,2*$B$7+U151,0)</f>
        <v>0.68199999999999994</v>
      </c>
      <c r="AJ151" s="139">
        <f>IF(AI151&gt;0,I151*VLOOKUP(T151,'$ alcantarillado'!$I$6:$K$22,3),0)</f>
        <v>2654586.666666667</v>
      </c>
      <c r="AK151" s="139">
        <f t="shared" ref="AK151:AK175" si="481">IF(N151&gt;0,((($D$151-F151)+(U151))+(($D$176-H151)+(U151))/2)*AI151*I151*$C$9,0)</f>
        <v>2281371.8400000036</v>
      </c>
      <c r="AL151" s="139">
        <f t="shared" ref="AL151:AL175" si="482">IF(AI151&gt;0,(($D$151-F151)+U151)*$C$10,0)</f>
        <v>964609.74200000195</v>
      </c>
      <c r="AM151" s="139">
        <f>IF(AJ151&gt;0,AJ151+AK151+AL151,0)</f>
        <v>5900568.248666672</v>
      </c>
      <c r="AN151" s="174">
        <v>0</v>
      </c>
      <c r="AO151" s="173">
        <f t="shared" ref="AO151:AO175" si="483">IF((AM151+AN151)&gt;0,(AM151+AN151),"")</f>
        <v>5900568.248666672</v>
      </c>
      <c r="AP151" s="225">
        <f>+MIN(AO151:AO155)</f>
        <v>5900568.248666672</v>
      </c>
      <c r="AQ151" s="129"/>
      <c r="AR151" s="163"/>
    </row>
    <row r="152" spans="1:44" x14ac:dyDescent="0.25">
      <c r="A152" s="230"/>
      <c r="B152" s="230"/>
      <c r="C152" s="230"/>
      <c r="D152" s="230"/>
      <c r="E152" s="141">
        <v>2</v>
      </c>
      <c r="F152" s="128">
        <f>+F151-$B$4</f>
        <v>47.129999999999995</v>
      </c>
      <c r="G152" s="141">
        <v>1</v>
      </c>
      <c r="H152" s="142">
        <f>+H151</f>
        <v>47.32</v>
      </c>
      <c r="I152" s="142">
        <f>+I151</f>
        <v>80</v>
      </c>
      <c r="J152" s="143">
        <f t="shared" ref="J152:J175" si="484">+(F152-H152)/I152</f>
        <v>-2.3750000000000602E-3</v>
      </c>
      <c r="K152" s="142">
        <f>+K151</f>
        <v>948</v>
      </c>
      <c r="L152" s="128">
        <f t="shared" ref="L152:L175" si="485">IF(K152&lt;38,K152^0.3686*0.7401,IF(K152&lt;235,K152^0.4193*0.6215,IF(K152&lt;932,K152*0.0092+4.2493,K152*0.0069+6.7345)))</f>
        <v>13.275700000000001</v>
      </c>
      <c r="M152" s="144">
        <f t="shared" ref="M152:M155" si="486">+L152/1000</f>
        <v>1.32757E-2</v>
      </c>
      <c r="N152" s="144">
        <f t="shared" si="474"/>
        <v>0</v>
      </c>
      <c r="O152" s="144">
        <f t="shared" si="475"/>
        <v>0</v>
      </c>
      <c r="P152" s="145">
        <f t="shared" si="476"/>
        <v>0</v>
      </c>
      <c r="Q152" s="113" t="str">
        <f>IF(O152&gt;0,VLOOKUP(P152,'$ alcantarillado'!$I$5:$L$22,4,FALSE),"0")</f>
        <v>0</v>
      </c>
      <c r="R152" s="113" t="str">
        <f t="shared" si="477"/>
        <v/>
      </c>
      <c r="S152" s="146">
        <f t="shared" si="478"/>
        <v>0</v>
      </c>
      <c r="T152" s="145">
        <f>+IF(S152&gt;$B$13,VLOOKUP(P152,'$ alcantarillado'!$I$6:$N$22,5),P152)</f>
        <v>0</v>
      </c>
      <c r="U152" s="113" t="str">
        <f>IF(O152&gt;0,VLOOKUP(T152,'$ alcantarillado'!$I$5:$L$22,4),"0")</f>
        <v>0</v>
      </c>
      <c r="V152" s="113" t="str">
        <f t="shared" si="479"/>
        <v/>
      </c>
      <c r="W152" s="146">
        <f t="shared" si="480"/>
        <v>0</v>
      </c>
      <c r="X152" s="146" t="str">
        <f t="shared" ref="X152:X155" si="487">IF(T152&gt;0,4*V152/(PI()*(U152)^2),"")</f>
        <v/>
      </c>
      <c r="Y152" s="113" t="str">
        <f>IF(T152&gt;0,(VLOOKUP($W152,Relaciones!$A$4:$D$108,2)),"")</f>
        <v/>
      </c>
      <c r="Z152" s="146" t="str">
        <f t="shared" ref="Z152:Z155" si="488">IF(T152&gt;0,Y152*X152,"")</f>
        <v/>
      </c>
      <c r="AA152" s="146" t="str">
        <f t="shared" ref="AA152:AA155" si="489">IF(T152&gt;0,250*U152*J152,"")</f>
        <v/>
      </c>
      <c r="AB152" s="147" t="str">
        <f t="shared" ref="AB152:AB155" si="490">IF(T152&gt;0,IF(W152&lt;=$B$13,"OK","No Cumple"),"")</f>
        <v/>
      </c>
      <c r="AC152" s="147" t="str">
        <f t="shared" ref="AC152:AC155" si="491">IF(T152&gt;0,IF(Z152&gt;=$B$12,"OK","No Cumple"),"")</f>
        <v/>
      </c>
      <c r="AD152" s="147" t="str">
        <f t="shared" ref="AD152:AD155" si="492">IF(T152&gt;0,IF(AA152&gt;$B$14,"OK","No Cumple"),"")</f>
        <v/>
      </c>
      <c r="AE152" s="148">
        <f t="shared" ref="AE152:AE155" si="493">+IF(AB152="OK",1,0)</f>
        <v>0</v>
      </c>
      <c r="AF152" s="148">
        <f t="shared" ref="AF152:AF155" si="494">+IF(AC152="OK",1,0)</f>
        <v>0</v>
      </c>
      <c r="AG152" s="148">
        <f t="shared" ref="AG152:AG155" si="495">+IF(AD152="OK",1,0)</f>
        <v>0</v>
      </c>
      <c r="AH152" s="148">
        <f t="shared" ref="AH152:AH155" si="496">SUM(AE152:AG152)</f>
        <v>0</v>
      </c>
      <c r="AI152" s="147">
        <f t="shared" ref="AI152:AI155" si="497">IF(AH152=3,2*$B$7+U152,0)</f>
        <v>0</v>
      </c>
      <c r="AJ152" s="149">
        <f>IF(AI152&gt;0,I152*VLOOKUP(T152,'$ alcantarillado'!$I$6:$K$22,3),0)</f>
        <v>0</v>
      </c>
      <c r="AK152" s="149">
        <f t="shared" si="481"/>
        <v>0</v>
      </c>
      <c r="AL152" s="149">
        <f t="shared" si="482"/>
        <v>0</v>
      </c>
      <c r="AM152" s="149">
        <f t="shared" ref="AM152:AM175" si="498">IF(AJ152&gt;0,AJ152+AK152+AL152,0)</f>
        <v>0</v>
      </c>
      <c r="AN152" s="175">
        <v>0</v>
      </c>
      <c r="AO152" s="150" t="str">
        <f t="shared" si="483"/>
        <v/>
      </c>
      <c r="AP152" s="226"/>
      <c r="AQ152" s="142"/>
      <c r="AR152" s="165"/>
    </row>
    <row r="153" spans="1:44" x14ac:dyDescent="0.25">
      <c r="A153" s="230"/>
      <c r="B153" s="230"/>
      <c r="C153" s="230"/>
      <c r="D153" s="230"/>
      <c r="E153" s="151">
        <v>3</v>
      </c>
      <c r="F153" s="128">
        <f>+F152-$B$4</f>
        <v>46.629999999999995</v>
      </c>
      <c r="G153" s="151">
        <v>1</v>
      </c>
      <c r="H153" s="142">
        <f t="shared" ref="H153:H154" si="499">+H152</f>
        <v>47.32</v>
      </c>
      <c r="I153" s="142">
        <f t="shared" ref="I153" si="500">+I152</f>
        <v>80</v>
      </c>
      <c r="J153" s="143">
        <f t="shared" si="484"/>
        <v>-8.6250000000000597E-3</v>
      </c>
      <c r="K153" s="142">
        <f t="shared" ref="K153" si="501">+K152</f>
        <v>948</v>
      </c>
      <c r="L153" s="128">
        <f t="shared" si="485"/>
        <v>13.275700000000001</v>
      </c>
      <c r="M153" s="144">
        <f t="shared" si="486"/>
        <v>1.32757E-2</v>
      </c>
      <c r="N153" s="144">
        <f t="shared" si="474"/>
        <v>0</v>
      </c>
      <c r="O153" s="144">
        <f t="shared" si="475"/>
        <v>0</v>
      </c>
      <c r="P153" s="145">
        <f t="shared" si="476"/>
        <v>0</v>
      </c>
      <c r="Q153" s="113" t="str">
        <f>IF(O153&gt;0,VLOOKUP(P153,'$ alcantarillado'!$I$5:$L$22,4,FALSE),"0")</f>
        <v>0</v>
      </c>
      <c r="R153" s="113" t="str">
        <f t="shared" si="477"/>
        <v/>
      </c>
      <c r="S153" s="146">
        <f t="shared" si="478"/>
        <v>0</v>
      </c>
      <c r="T153" s="145">
        <f>+IF(S153&gt;$B$13,VLOOKUP(P153,'$ alcantarillado'!$I$6:$N$22,5),P153)</f>
        <v>0</v>
      </c>
      <c r="U153" s="113" t="str">
        <f>IF(O153&gt;0,VLOOKUP(T153,'$ alcantarillado'!$I$5:$L$22,4),"0")</f>
        <v>0</v>
      </c>
      <c r="V153" s="113" t="str">
        <f t="shared" si="479"/>
        <v/>
      </c>
      <c r="W153" s="146">
        <f t="shared" si="480"/>
        <v>0</v>
      </c>
      <c r="X153" s="146" t="str">
        <f t="shared" si="487"/>
        <v/>
      </c>
      <c r="Y153" s="113" t="str">
        <f>IF(T153&gt;0,(VLOOKUP($W153,Relaciones!$A$4:$D$108,2)),"")</f>
        <v/>
      </c>
      <c r="Z153" s="146" t="str">
        <f t="shared" si="488"/>
        <v/>
      </c>
      <c r="AA153" s="146" t="str">
        <f t="shared" si="489"/>
        <v/>
      </c>
      <c r="AB153" s="147" t="str">
        <f t="shared" si="490"/>
        <v/>
      </c>
      <c r="AC153" s="147" t="str">
        <f t="shared" si="491"/>
        <v/>
      </c>
      <c r="AD153" s="147" t="str">
        <f t="shared" si="492"/>
        <v/>
      </c>
      <c r="AE153" s="148">
        <f t="shared" si="493"/>
        <v>0</v>
      </c>
      <c r="AF153" s="148">
        <f t="shared" si="494"/>
        <v>0</v>
      </c>
      <c r="AG153" s="148">
        <f t="shared" si="495"/>
        <v>0</v>
      </c>
      <c r="AH153" s="148">
        <f t="shared" si="496"/>
        <v>0</v>
      </c>
      <c r="AI153" s="147">
        <f t="shared" si="497"/>
        <v>0</v>
      </c>
      <c r="AJ153" s="149">
        <f>IF(AI153&gt;0,I153*VLOOKUP(T153,'$ alcantarillado'!$I$6:$K$22,3),0)</f>
        <v>0</v>
      </c>
      <c r="AK153" s="149">
        <f t="shared" si="481"/>
        <v>0</v>
      </c>
      <c r="AL153" s="149">
        <f t="shared" si="482"/>
        <v>0</v>
      </c>
      <c r="AM153" s="149">
        <f t="shared" si="498"/>
        <v>0</v>
      </c>
      <c r="AN153" s="175">
        <v>0</v>
      </c>
      <c r="AO153" s="150" t="str">
        <f t="shared" si="483"/>
        <v/>
      </c>
      <c r="AP153" s="227"/>
      <c r="AQ153" s="142">
        <v>1</v>
      </c>
      <c r="AR153" s="165">
        <v>1</v>
      </c>
    </row>
    <row r="154" spans="1:44" x14ac:dyDescent="0.25">
      <c r="A154" s="230"/>
      <c r="B154" s="230"/>
      <c r="C154" s="230"/>
      <c r="D154" s="230"/>
      <c r="E154" s="151">
        <v>4</v>
      </c>
      <c r="F154" s="128">
        <f>+F153-$B$4</f>
        <v>46.129999999999995</v>
      </c>
      <c r="G154" s="151">
        <v>1</v>
      </c>
      <c r="H154" s="142">
        <f t="shared" si="499"/>
        <v>47.32</v>
      </c>
      <c r="I154" s="142">
        <f t="shared" ref="I154" si="502">+I153</f>
        <v>80</v>
      </c>
      <c r="J154" s="143">
        <f>+(F154-H154)/I154</f>
        <v>-1.487500000000006E-2</v>
      </c>
      <c r="K154" s="142">
        <f t="shared" ref="K154" si="503">+K153</f>
        <v>948</v>
      </c>
      <c r="L154" s="128">
        <f t="shared" si="485"/>
        <v>13.275700000000001</v>
      </c>
      <c r="M154" s="144">
        <f t="shared" si="486"/>
        <v>1.32757E-2</v>
      </c>
      <c r="N154" s="144">
        <f t="shared" si="474"/>
        <v>0</v>
      </c>
      <c r="O154" s="144">
        <f t="shared" si="475"/>
        <v>0</v>
      </c>
      <c r="P154" s="145">
        <f t="shared" si="476"/>
        <v>0</v>
      </c>
      <c r="Q154" s="113" t="str">
        <f>IF(O154&gt;0,VLOOKUP(P154,'$ alcantarillado'!$I$5:$L$22,4,FALSE),"0")</f>
        <v>0</v>
      </c>
      <c r="R154" s="113" t="str">
        <f t="shared" si="477"/>
        <v/>
      </c>
      <c r="S154" s="146">
        <f t="shared" si="478"/>
        <v>0</v>
      </c>
      <c r="T154" s="145">
        <f>+IF(S154&gt;$B$13,VLOOKUP(P154,'$ alcantarillado'!$I$6:$N$22,5),P154)</f>
        <v>0</v>
      </c>
      <c r="U154" s="113" t="str">
        <f>IF(O154&gt;0,VLOOKUP(T154,'$ alcantarillado'!$I$5:$L$22,4),"0")</f>
        <v>0</v>
      </c>
      <c r="V154" s="113" t="str">
        <f t="shared" si="479"/>
        <v/>
      </c>
      <c r="W154" s="146">
        <f t="shared" si="480"/>
        <v>0</v>
      </c>
      <c r="X154" s="146" t="str">
        <f t="shared" si="487"/>
        <v/>
      </c>
      <c r="Y154" s="113" t="str">
        <f>IF(T154&gt;0,(VLOOKUP($W154,Relaciones!$A$4:$D$108,2)),"")</f>
        <v/>
      </c>
      <c r="Z154" s="146" t="str">
        <f t="shared" si="488"/>
        <v/>
      </c>
      <c r="AA154" s="146" t="str">
        <f t="shared" si="489"/>
        <v/>
      </c>
      <c r="AB154" s="147" t="str">
        <f t="shared" si="490"/>
        <v/>
      </c>
      <c r="AC154" s="147" t="str">
        <f t="shared" si="491"/>
        <v/>
      </c>
      <c r="AD154" s="147" t="str">
        <f t="shared" si="492"/>
        <v/>
      </c>
      <c r="AE154" s="148">
        <f t="shared" si="493"/>
        <v>0</v>
      </c>
      <c r="AF154" s="148">
        <f t="shared" si="494"/>
        <v>0</v>
      </c>
      <c r="AG154" s="148">
        <f t="shared" si="495"/>
        <v>0</v>
      </c>
      <c r="AH154" s="148">
        <f t="shared" si="496"/>
        <v>0</v>
      </c>
      <c r="AI154" s="147">
        <f t="shared" si="497"/>
        <v>0</v>
      </c>
      <c r="AJ154" s="149">
        <f>IF(AI154&gt;0,I154*VLOOKUP(T154,'$ alcantarillado'!$I$6:$K$22,3),0)</f>
        <v>0</v>
      </c>
      <c r="AK154" s="149">
        <f t="shared" si="481"/>
        <v>0</v>
      </c>
      <c r="AL154" s="149">
        <f t="shared" si="482"/>
        <v>0</v>
      </c>
      <c r="AM154" s="149">
        <f t="shared" si="498"/>
        <v>0</v>
      </c>
      <c r="AN154" s="175">
        <v>0</v>
      </c>
      <c r="AO154" s="150" t="str">
        <f t="shared" si="483"/>
        <v/>
      </c>
      <c r="AP154" s="227"/>
      <c r="AQ154" s="142"/>
      <c r="AR154" s="165"/>
    </row>
    <row r="155" spans="1:44" ht="15.75" thickBot="1" x14ac:dyDescent="0.3">
      <c r="A155" s="230"/>
      <c r="B155" s="230"/>
      <c r="C155" s="230"/>
      <c r="D155" s="230"/>
      <c r="E155" s="152">
        <v>5</v>
      </c>
      <c r="F155" s="153">
        <f>+F154-$B$4</f>
        <v>45.629999999999995</v>
      </c>
      <c r="G155" s="152">
        <v>1</v>
      </c>
      <c r="H155" s="154">
        <f>+H154</f>
        <v>47.32</v>
      </c>
      <c r="I155" s="154">
        <f>+I154</f>
        <v>80</v>
      </c>
      <c r="J155" s="155">
        <f t="shared" si="484"/>
        <v>-2.112500000000006E-2</v>
      </c>
      <c r="K155" s="154">
        <f>+K154</f>
        <v>948</v>
      </c>
      <c r="L155" s="153">
        <f t="shared" si="485"/>
        <v>13.275700000000001</v>
      </c>
      <c r="M155" s="156">
        <f t="shared" si="486"/>
        <v>1.32757E-2</v>
      </c>
      <c r="N155" s="156">
        <f t="shared" si="474"/>
        <v>0</v>
      </c>
      <c r="O155" s="156">
        <f t="shared" si="475"/>
        <v>0</v>
      </c>
      <c r="P155" s="157">
        <f t="shared" si="476"/>
        <v>0</v>
      </c>
      <c r="Q155" s="113" t="str">
        <f>IF(O155&gt;0,VLOOKUP(P155,'$ alcantarillado'!$I$5:$L$22,4,FALSE),"0")</f>
        <v>0</v>
      </c>
      <c r="R155" s="113" t="str">
        <f t="shared" si="477"/>
        <v/>
      </c>
      <c r="S155" s="146">
        <f t="shared" si="478"/>
        <v>0</v>
      </c>
      <c r="T155" s="145">
        <f>+IF(S155&gt;$B$13,VLOOKUP(P155,'$ alcantarillado'!$I$6:$N$22,5),P155)</f>
        <v>0</v>
      </c>
      <c r="U155" s="113" t="str">
        <f>IF(O155&gt;0,VLOOKUP(T155,'$ alcantarillado'!$I$5:$L$22,4),"0")</f>
        <v>0</v>
      </c>
      <c r="V155" s="113" t="str">
        <f t="shared" si="479"/>
        <v/>
      </c>
      <c r="W155" s="146">
        <f t="shared" si="480"/>
        <v>0</v>
      </c>
      <c r="X155" s="146" t="str">
        <f t="shared" si="487"/>
        <v/>
      </c>
      <c r="Y155" s="113" t="str">
        <f>IF(T155&gt;0,(VLOOKUP($W155,Relaciones!$A$4:$D$108,2)),"")</f>
        <v/>
      </c>
      <c r="Z155" s="146" t="str">
        <f t="shared" si="488"/>
        <v/>
      </c>
      <c r="AA155" s="146" t="str">
        <f t="shared" si="489"/>
        <v/>
      </c>
      <c r="AB155" s="147" t="str">
        <f t="shared" si="490"/>
        <v/>
      </c>
      <c r="AC155" s="147" t="str">
        <f t="shared" si="491"/>
        <v/>
      </c>
      <c r="AD155" s="147" t="str">
        <f t="shared" si="492"/>
        <v/>
      </c>
      <c r="AE155" s="148">
        <f t="shared" si="493"/>
        <v>0</v>
      </c>
      <c r="AF155" s="148">
        <f t="shared" si="494"/>
        <v>0</v>
      </c>
      <c r="AG155" s="148">
        <f t="shared" si="495"/>
        <v>0</v>
      </c>
      <c r="AH155" s="148">
        <f t="shared" si="496"/>
        <v>0</v>
      </c>
      <c r="AI155" s="147">
        <f t="shared" si="497"/>
        <v>0</v>
      </c>
      <c r="AJ155" s="158">
        <f>IF(AI155&gt;0,I155*VLOOKUP(T155,'$ alcantarillado'!$I$6:$K$22,3),0)</f>
        <v>0</v>
      </c>
      <c r="AK155" s="149">
        <f t="shared" si="481"/>
        <v>0</v>
      </c>
      <c r="AL155" s="149">
        <f t="shared" si="482"/>
        <v>0</v>
      </c>
      <c r="AM155" s="158">
        <f t="shared" si="498"/>
        <v>0</v>
      </c>
      <c r="AN155" s="175">
        <v>0</v>
      </c>
      <c r="AO155" s="159" t="str">
        <f t="shared" si="483"/>
        <v/>
      </c>
      <c r="AP155" s="228"/>
      <c r="AQ155" s="154"/>
      <c r="AR155" s="166"/>
    </row>
    <row r="156" spans="1:44" x14ac:dyDescent="0.25">
      <c r="A156" s="230"/>
      <c r="B156" s="230"/>
      <c r="C156" s="230"/>
      <c r="D156" s="230"/>
      <c r="E156" s="127">
        <v>1</v>
      </c>
      <c r="F156" s="132">
        <f>+$D$151-$B$5</f>
        <v>47.629999999999995</v>
      </c>
      <c r="G156" s="127">
        <v>2</v>
      </c>
      <c r="H156" s="142">
        <f>+H151-$B$4</f>
        <v>46.82</v>
      </c>
      <c r="I156" s="142">
        <f>+I155</f>
        <v>80</v>
      </c>
      <c r="J156" s="143">
        <f>+(F156-H156)/I156</f>
        <v>1.012499999999994E-2</v>
      </c>
      <c r="K156" s="142">
        <f>+K155</f>
        <v>948</v>
      </c>
      <c r="L156" s="132">
        <f>IF(K156&lt;38,K156^0.3686*0.7401,IF(K156&lt;235,K156^0.4193*0.6215,IF(K156&lt;932,K156*0.0092+4.2493,K156*0.0069+6.7345)))</f>
        <v>13.275700000000001</v>
      </c>
      <c r="M156" s="133">
        <f>+L156/1000</f>
        <v>1.32757E-2</v>
      </c>
      <c r="N156" s="133">
        <f t="shared" si="474"/>
        <v>0.12882236265028296</v>
      </c>
      <c r="O156" s="133">
        <f t="shared" si="475"/>
        <v>5.0717465610347627</v>
      </c>
      <c r="P156" s="134">
        <f t="shared" si="476"/>
        <v>6</v>
      </c>
      <c r="Q156" s="135">
        <f>IF(O156&gt;0,VLOOKUP(P156,'$ alcantarillado'!$I$5:$L$22,4,FALSE),"0")</f>
        <v>0.14499999999999999</v>
      </c>
      <c r="R156" s="135">
        <f t="shared" si="477"/>
        <v>1.8199609754532414E-2</v>
      </c>
      <c r="S156" s="136">
        <f t="shared" si="478"/>
        <v>0.72944970683746835</v>
      </c>
      <c r="T156" s="134">
        <f>+IF(S156&gt;$B$13,VLOOKUP(P156,'$ alcantarillado'!$I$6:$N$22,5),P156)</f>
        <v>6</v>
      </c>
      <c r="U156" s="135">
        <f>IF(O156&gt;0,VLOOKUP(T156,'$ alcantarillado'!$I$5:$L$22,4),"0")</f>
        <v>0.14499999999999999</v>
      </c>
      <c r="V156" s="135">
        <f t="shared" si="479"/>
        <v>1.8199609754532414E-2</v>
      </c>
      <c r="W156" s="136">
        <f t="shared" si="480"/>
        <v>0.72944970683746835</v>
      </c>
      <c r="X156" s="136">
        <f>IF(T156&gt;0,4*V156/(PI()*(U156)^2),"")</f>
        <v>1.1021385416512952</v>
      </c>
      <c r="Y156" s="135">
        <f>IF(T156&gt;0,(VLOOKUP($W156,Relaciones!$A$4:$D$108,2)),"")</f>
        <v>0.95499999999999996</v>
      </c>
      <c r="Z156" s="136">
        <f>IF(T156&gt;0,Y156*X156,"")</f>
        <v>1.0525423072769868</v>
      </c>
      <c r="AA156" s="136">
        <f>IF(T156&gt;0,250*U156*J156,"")</f>
        <v>0.36703124999999781</v>
      </c>
      <c r="AB156" s="137" t="str">
        <f>IF(T156&gt;0,IF(W156&lt;=$B$13,"OK","No Cumple"),"")</f>
        <v>OK</v>
      </c>
      <c r="AC156" s="137" t="str">
        <f>IF(T156&gt;0,IF(Z156&gt;=$B$12,"OK","No Cumple"),"")</f>
        <v>OK</v>
      </c>
      <c r="AD156" s="137" t="str">
        <f>IF(T156&gt;0,IF(AA156&gt;$B$14,"OK","No Cumple"),"")</f>
        <v>OK</v>
      </c>
      <c r="AE156" s="138">
        <f>+IF(AB156="OK",1,0)</f>
        <v>1</v>
      </c>
      <c r="AF156" s="138">
        <f>+IF(AC156="OK",1,0)</f>
        <v>1</v>
      </c>
      <c r="AG156" s="138">
        <f>+IF(AD156="OK",1,0)</f>
        <v>1</v>
      </c>
      <c r="AH156" s="138">
        <f>SUM(AE156:AG156)</f>
        <v>3</v>
      </c>
      <c r="AI156" s="137">
        <f>IF(AH156=3,2*$B$7+U156,0)</f>
        <v>0.64500000000000002</v>
      </c>
      <c r="AJ156" s="139">
        <f>IF(AI156&gt;0,I156*VLOOKUP(T156,'$ alcantarillado'!$I$6:$K$22,3),0)</f>
        <v>1912173.3333333335</v>
      </c>
      <c r="AK156" s="139">
        <f t="shared" si="481"/>
        <v>2338254.0000000047</v>
      </c>
      <c r="AL156" s="139">
        <f t="shared" si="482"/>
        <v>938784.44500000204</v>
      </c>
      <c r="AM156" s="139">
        <f>IF(AJ156&gt;0,AJ156+AK156+AL156,0)</f>
        <v>5189211.7783333398</v>
      </c>
      <c r="AN156" s="174">
        <v>0</v>
      </c>
      <c r="AO156" s="140">
        <f t="shared" si="483"/>
        <v>5189211.7783333398</v>
      </c>
      <c r="AP156" s="217">
        <f>+MIN(AO156:AO160)</f>
        <v>5189211.7783333398</v>
      </c>
      <c r="AQ156" s="142"/>
      <c r="AR156" s="165"/>
    </row>
    <row r="157" spans="1:44" x14ac:dyDescent="0.25">
      <c r="A157" s="230"/>
      <c r="B157" s="230"/>
      <c r="C157" s="230"/>
      <c r="D157" s="230"/>
      <c r="E157" s="141">
        <v>2</v>
      </c>
      <c r="F157" s="128">
        <f>+F156-$B$4</f>
        <v>47.129999999999995</v>
      </c>
      <c r="G157" s="141">
        <v>2</v>
      </c>
      <c r="H157" s="142">
        <f>+H156</f>
        <v>46.82</v>
      </c>
      <c r="I157" s="142">
        <f>+I156</f>
        <v>80</v>
      </c>
      <c r="J157" s="143">
        <f t="shared" si="484"/>
        <v>3.8749999999999397E-3</v>
      </c>
      <c r="K157" s="142">
        <f>+K156</f>
        <v>948</v>
      </c>
      <c r="L157" s="128">
        <f t="shared" si="485"/>
        <v>13.275700000000001</v>
      </c>
      <c r="M157" s="144">
        <f t="shared" ref="M157:M160" si="504">+L157/1000</f>
        <v>1.32757E-2</v>
      </c>
      <c r="N157" s="144">
        <f t="shared" si="474"/>
        <v>0.15424172849385967</v>
      </c>
      <c r="O157" s="144">
        <f t="shared" si="475"/>
        <v>6.0725089958212468</v>
      </c>
      <c r="P157" s="145">
        <f t="shared" si="476"/>
        <v>8</v>
      </c>
      <c r="Q157" s="113">
        <f>IF(O157&gt;0,VLOOKUP(P157,'$ alcantarillado'!$I$5:$L$22,4,FALSE),"0")</f>
        <v>0.182</v>
      </c>
      <c r="R157" s="113">
        <f t="shared" si="477"/>
        <v>2.0639988066721529E-2</v>
      </c>
      <c r="S157" s="146">
        <f t="shared" si="478"/>
        <v>0.6432028912557759</v>
      </c>
      <c r="T157" s="145">
        <f>+IF(S157&gt;$B$13,VLOOKUP(P157,'$ alcantarillado'!$I$6:$N$22,5),P157)</f>
        <v>8</v>
      </c>
      <c r="U157" s="113">
        <f>IF(O157&gt;0,VLOOKUP(T157,'$ alcantarillado'!$I$5:$L$22,4),"0")</f>
        <v>0.182</v>
      </c>
      <c r="V157" s="113">
        <f t="shared" si="479"/>
        <v>2.0639988066721529E-2</v>
      </c>
      <c r="W157" s="146">
        <f t="shared" si="480"/>
        <v>0.6432028912557759</v>
      </c>
      <c r="X157" s="146">
        <f t="shared" ref="X157:X160" si="505">IF(T157&gt;0,4*V157/(PI()*(U157)^2),"")</f>
        <v>0.79337184547191486</v>
      </c>
      <c r="Y157" s="113">
        <f>IF(T157&gt;0,(VLOOKUP($W157,Relaciones!$A$4:$D$108,2)),"")</f>
        <v>0.91800000000000004</v>
      </c>
      <c r="Z157" s="146">
        <f t="shared" ref="Z157:Z160" si="506">IF(T157&gt;0,Y157*X157,"")</f>
        <v>0.72831535414321791</v>
      </c>
      <c r="AA157" s="146">
        <f t="shared" ref="AA157:AA160" si="507">IF(T157&gt;0,250*U157*J157,"")</f>
        <v>0.17631249999999726</v>
      </c>
      <c r="AB157" s="147" t="str">
        <f t="shared" ref="AB157:AB160" si="508">IF(T157&gt;0,IF(W157&lt;=$B$13,"OK","No Cumple"),"")</f>
        <v>OK</v>
      </c>
      <c r="AC157" s="147" t="str">
        <f t="shared" ref="AC157:AC160" si="509">IF(T157&gt;0,IF(Z157&gt;=$B$12,"OK","No Cumple"),"")</f>
        <v>OK</v>
      </c>
      <c r="AD157" s="147" t="str">
        <f t="shared" ref="AD157:AD160" si="510">IF(T157&gt;0,IF(AA157&gt;$B$14,"OK","No Cumple"),"")</f>
        <v>OK</v>
      </c>
      <c r="AE157" s="148">
        <f t="shared" ref="AE157:AE160" si="511">+IF(AB157="OK",1,0)</f>
        <v>1</v>
      </c>
      <c r="AF157" s="148">
        <f t="shared" ref="AF157:AF160" si="512">+IF(AC157="OK",1,0)</f>
        <v>1</v>
      </c>
      <c r="AG157" s="148">
        <f t="shared" ref="AG157:AG160" si="513">+IF(AD157="OK",1,0)</f>
        <v>1</v>
      </c>
      <c r="AH157" s="148">
        <f t="shared" ref="AH157:AH160" si="514">SUM(AE157:AG157)</f>
        <v>3</v>
      </c>
      <c r="AI157" s="147">
        <f t="shared" ref="AI157:AI160" si="515">IF(AH157=3,2*$B$7+U157,0)</f>
        <v>0.68199999999999994</v>
      </c>
      <c r="AJ157" s="149">
        <f>IF(AI157&gt;0,I157*VLOOKUP(T157,'$ alcantarillado'!$I$6:$K$22,3),0)</f>
        <v>2654586.666666667</v>
      </c>
      <c r="AK157" s="149">
        <f t="shared" si="481"/>
        <v>3017931.8400000036</v>
      </c>
      <c r="AL157" s="149">
        <f t="shared" si="482"/>
        <v>1313600.2420000019</v>
      </c>
      <c r="AM157" s="149">
        <f t="shared" si="498"/>
        <v>6986118.748666672</v>
      </c>
      <c r="AN157" s="175">
        <v>0</v>
      </c>
      <c r="AO157" s="150">
        <f t="shared" si="483"/>
        <v>6986118.748666672</v>
      </c>
      <c r="AP157" s="218"/>
      <c r="AQ157" s="142"/>
      <c r="AR157" s="165"/>
    </row>
    <row r="158" spans="1:44" x14ac:dyDescent="0.25">
      <c r="A158" s="230"/>
      <c r="B158" s="230"/>
      <c r="C158" s="230"/>
      <c r="D158" s="230"/>
      <c r="E158" s="151">
        <v>3</v>
      </c>
      <c r="F158" s="128">
        <f t="shared" ref="F158:F160" si="516">+F157-$B$4</f>
        <v>46.629999999999995</v>
      </c>
      <c r="G158" s="151">
        <v>2</v>
      </c>
      <c r="H158" s="142">
        <f t="shared" ref="H158" si="517">+H157</f>
        <v>46.82</v>
      </c>
      <c r="I158" s="142">
        <f t="shared" ref="I158" si="518">+I157</f>
        <v>80</v>
      </c>
      <c r="J158" s="143">
        <f t="shared" si="484"/>
        <v>-2.3750000000000602E-3</v>
      </c>
      <c r="K158" s="142">
        <f t="shared" ref="K158:K159" si="519">+K157</f>
        <v>948</v>
      </c>
      <c r="L158" s="128">
        <f t="shared" si="485"/>
        <v>13.275700000000001</v>
      </c>
      <c r="M158" s="144">
        <f t="shared" si="504"/>
        <v>1.32757E-2</v>
      </c>
      <c r="N158" s="144">
        <f t="shared" si="474"/>
        <v>0</v>
      </c>
      <c r="O158" s="144">
        <f t="shared" si="475"/>
        <v>0</v>
      </c>
      <c r="P158" s="145">
        <f t="shared" si="476"/>
        <v>0</v>
      </c>
      <c r="Q158" s="113" t="str">
        <f>IF(O158&gt;0,VLOOKUP(P158,'$ alcantarillado'!$I$5:$L$22,4,FALSE),"0")</f>
        <v>0</v>
      </c>
      <c r="R158" s="113" t="str">
        <f t="shared" si="477"/>
        <v/>
      </c>
      <c r="S158" s="146">
        <f t="shared" si="478"/>
        <v>0</v>
      </c>
      <c r="T158" s="145">
        <f>+IF(S158&gt;$B$13,VLOOKUP(P158,'$ alcantarillado'!$I$6:$N$22,5),P158)</f>
        <v>0</v>
      </c>
      <c r="U158" s="113" t="str">
        <f>IF(O158&gt;0,VLOOKUP(T158,'$ alcantarillado'!$I$5:$L$22,4),"0")</f>
        <v>0</v>
      </c>
      <c r="V158" s="113" t="str">
        <f t="shared" si="479"/>
        <v/>
      </c>
      <c r="W158" s="146">
        <f t="shared" si="480"/>
        <v>0</v>
      </c>
      <c r="X158" s="146" t="str">
        <f t="shared" si="505"/>
        <v/>
      </c>
      <c r="Y158" s="113" t="str">
        <f>IF(T158&gt;0,(VLOOKUP($W158,Relaciones!$A$4:$D$108,2)),"")</f>
        <v/>
      </c>
      <c r="Z158" s="146" t="str">
        <f t="shared" si="506"/>
        <v/>
      </c>
      <c r="AA158" s="146" t="str">
        <f t="shared" si="507"/>
        <v/>
      </c>
      <c r="AB158" s="147" t="str">
        <f t="shared" si="508"/>
        <v/>
      </c>
      <c r="AC158" s="147" t="str">
        <f t="shared" si="509"/>
        <v/>
      </c>
      <c r="AD158" s="147" t="str">
        <f t="shared" si="510"/>
        <v/>
      </c>
      <c r="AE158" s="148">
        <f t="shared" si="511"/>
        <v>0</v>
      </c>
      <c r="AF158" s="148">
        <f t="shared" si="512"/>
        <v>0</v>
      </c>
      <c r="AG158" s="148">
        <f t="shared" si="513"/>
        <v>0</v>
      </c>
      <c r="AH158" s="148">
        <f t="shared" si="514"/>
        <v>0</v>
      </c>
      <c r="AI158" s="147">
        <f t="shared" si="515"/>
        <v>0</v>
      </c>
      <c r="AJ158" s="149">
        <f>IF(AI158&gt;0,I158*VLOOKUP(T158,'$ alcantarillado'!$I$6:$K$22,3),0)</f>
        <v>0</v>
      </c>
      <c r="AK158" s="149">
        <f t="shared" si="481"/>
        <v>0</v>
      </c>
      <c r="AL158" s="149">
        <f t="shared" si="482"/>
        <v>0</v>
      </c>
      <c r="AM158" s="149">
        <f t="shared" si="498"/>
        <v>0</v>
      </c>
      <c r="AN158" s="175">
        <v>0</v>
      </c>
      <c r="AO158" s="150" t="str">
        <f t="shared" si="483"/>
        <v/>
      </c>
      <c r="AP158" s="219"/>
      <c r="AQ158" s="142">
        <v>3</v>
      </c>
      <c r="AR158" s="165">
        <v>2</v>
      </c>
    </row>
    <row r="159" spans="1:44" x14ac:dyDescent="0.25">
      <c r="A159" s="230"/>
      <c r="B159" s="230"/>
      <c r="C159" s="230"/>
      <c r="D159" s="230"/>
      <c r="E159" s="151">
        <v>4</v>
      </c>
      <c r="F159" s="128">
        <f t="shared" si="516"/>
        <v>46.129999999999995</v>
      </c>
      <c r="G159" s="151">
        <v>2</v>
      </c>
      <c r="H159" s="142">
        <f t="shared" ref="H159" si="520">+H158</f>
        <v>46.82</v>
      </c>
      <c r="I159" s="142">
        <f t="shared" ref="I159" si="521">+I158</f>
        <v>80</v>
      </c>
      <c r="J159" s="143">
        <f>+(F159-H159)/I159</f>
        <v>-8.6250000000000597E-3</v>
      </c>
      <c r="K159" s="142">
        <f t="shared" si="519"/>
        <v>948</v>
      </c>
      <c r="L159" s="128">
        <f t="shared" si="485"/>
        <v>13.275700000000001</v>
      </c>
      <c r="M159" s="144">
        <f t="shared" si="504"/>
        <v>1.32757E-2</v>
      </c>
      <c r="N159" s="144">
        <f t="shared" si="474"/>
        <v>0</v>
      </c>
      <c r="O159" s="144">
        <f t="shared" si="475"/>
        <v>0</v>
      </c>
      <c r="P159" s="145">
        <f t="shared" si="476"/>
        <v>0</v>
      </c>
      <c r="Q159" s="113" t="str">
        <f>IF(O159&gt;0,VLOOKUP(P159,'$ alcantarillado'!$I$5:$L$22,4,FALSE),"0")</f>
        <v>0</v>
      </c>
      <c r="R159" s="113" t="str">
        <f t="shared" si="477"/>
        <v/>
      </c>
      <c r="S159" s="146">
        <f t="shared" si="478"/>
        <v>0</v>
      </c>
      <c r="T159" s="145">
        <f>+IF(S159&gt;$B$13,VLOOKUP(P159,'$ alcantarillado'!$I$6:$N$22,5),P159)</f>
        <v>0</v>
      </c>
      <c r="U159" s="113" t="str">
        <f>IF(O159&gt;0,VLOOKUP(T159,'$ alcantarillado'!$I$5:$L$22,4),"0")</f>
        <v>0</v>
      </c>
      <c r="V159" s="113" t="str">
        <f t="shared" si="479"/>
        <v/>
      </c>
      <c r="W159" s="146">
        <f t="shared" si="480"/>
        <v>0</v>
      </c>
      <c r="X159" s="146" t="str">
        <f t="shared" si="505"/>
        <v/>
      </c>
      <c r="Y159" s="113" t="str">
        <f>IF(T159&gt;0,(VLOOKUP($W159,Relaciones!$A$4:$D$108,2)),"")</f>
        <v/>
      </c>
      <c r="Z159" s="146" t="str">
        <f t="shared" si="506"/>
        <v/>
      </c>
      <c r="AA159" s="146" t="str">
        <f t="shared" si="507"/>
        <v/>
      </c>
      <c r="AB159" s="147" t="str">
        <f t="shared" si="508"/>
        <v/>
      </c>
      <c r="AC159" s="147" t="str">
        <f t="shared" si="509"/>
        <v/>
      </c>
      <c r="AD159" s="147" t="str">
        <f t="shared" si="510"/>
        <v/>
      </c>
      <c r="AE159" s="148">
        <f t="shared" si="511"/>
        <v>0</v>
      </c>
      <c r="AF159" s="148">
        <f t="shared" si="512"/>
        <v>0</v>
      </c>
      <c r="AG159" s="148">
        <f t="shared" si="513"/>
        <v>0</v>
      </c>
      <c r="AH159" s="148">
        <f t="shared" si="514"/>
        <v>0</v>
      </c>
      <c r="AI159" s="147">
        <f t="shared" si="515"/>
        <v>0</v>
      </c>
      <c r="AJ159" s="149">
        <f>IF(AI159&gt;0,I159*VLOOKUP(T159,'$ alcantarillado'!$I$6:$K$22,3),0)</f>
        <v>0</v>
      </c>
      <c r="AK159" s="149">
        <f t="shared" si="481"/>
        <v>0</v>
      </c>
      <c r="AL159" s="149">
        <f t="shared" si="482"/>
        <v>0</v>
      </c>
      <c r="AM159" s="149">
        <f t="shared" si="498"/>
        <v>0</v>
      </c>
      <c r="AN159" s="175">
        <v>0</v>
      </c>
      <c r="AO159" s="150" t="str">
        <f t="shared" si="483"/>
        <v/>
      </c>
      <c r="AP159" s="219"/>
      <c r="AQ159" s="142"/>
      <c r="AR159" s="165"/>
    </row>
    <row r="160" spans="1:44" ht="15.75" thickBot="1" x14ac:dyDescent="0.3">
      <c r="A160" s="230"/>
      <c r="B160" s="230"/>
      <c r="C160" s="230"/>
      <c r="D160" s="230"/>
      <c r="E160" s="152">
        <v>5</v>
      </c>
      <c r="F160" s="153">
        <f t="shared" si="516"/>
        <v>45.629999999999995</v>
      </c>
      <c r="G160" s="152">
        <v>2</v>
      </c>
      <c r="H160" s="154">
        <f>+H159</f>
        <v>46.82</v>
      </c>
      <c r="I160" s="154">
        <f>+I159</f>
        <v>80</v>
      </c>
      <c r="J160" s="155">
        <f t="shared" si="484"/>
        <v>-1.487500000000006E-2</v>
      </c>
      <c r="K160" s="154">
        <f>+K159</f>
        <v>948</v>
      </c>
      <c r="L160" s="153">
        <f t="shared" si="485"/>
        <v>13.275700000000001</v>
      </c>
      <c r="M160" s="156">
        <f t="shared" si="504"/>
        <v>1.32757E-2</v>
      </c>
      <c r="N160" s="156">
        <f t="shared" si="474"/>
        <v>0</v>
      </c>
      <c r="O160" s="156">
        <f t="shared" si="475"/>
        <v>0</v>
      </c>
      <c r="P160" s="157">
        <f t="shared" si="476"/>
        <v>0</v>
      </c>
      <c r="Q160" s="113" t="str">
        <f>IF(O160&gt;0,VLOOKUP(P160,'$ alcantarillado'!$I$5:$L$22,4,FALSE),"0")</f>
        <v>0</v>
      </c>
      <c r="R160" s="160" t="str">
        <f t="shared" si="477"/>
        <v/>
      </c>
      <c r="S160" s="146">
        <f t="shared" si="478"/>
        <v>0</v>
      </c>
      <c r="T160" s="145">
        <f>+IF(S160&gt;$B$13,VLOOKUP(P160,'$ alcantarillado'!$I$6:$N$22,5),P160)</f>
        <v>0</v>
      </c>
      <c r="U160" s="113" t="str">
        <f>IF(O160&gt;0,VLOOKUP(T160,'$ alcantarillado'!$I$5:$L$22,4),"0")</f>
        <v>0</v>
      </c>
      <c r="V160" s="113" t="str">
        <f t="shared" si="479"/>
        <v/>
      </c>
      <c r="W160" s="146">
        <f t="shared" si="480"/>
        <v>0</v>
      </c>
      <c r="X160" s="146" t="str">
        <f t="shared" si="505"/>
        <v/>
      </c>
      <c r="Y160" s="113" t="str">
        <f>IF(T160&gt;0,(VLOOKUP($W160,Relaciones!$A$4:$D$108,2)),"")</f>
        <v/>
      </c>
      <c r="Z160" s="146" t="str">
        <f t="shared" si="506"/>
        <v/>
      </c>
      <c r="AA160" s="146" t="str">
        <f t="shared" si="507"/>
        <v/>
      </c>
      <c r="AB160" s="147" t="str">
        <f t="shared" si="508"/>
        <v/>
      </c>
      <c r="AC160" s="147" t="str">
        <f t="shared" si="509"/>
        <v/>
      </c>
      <c r="AD160" s="147" t="str">
        <f t="shared" si="510"/>
        <v/>
      </c>
      <c r="AE160" s="148">
        <f t="shared" si="511"/>
        <v>0</v>
      </c>
      <c r="AF160" s="148">
        <f t="shared" si="512"/>
        <v>0</v>
      </c>
      <c r="AG160" s="148">
        <f t="shared" si="513"/>
        <v>0</v>
      </c>
      <c r="AH160" s="148">
        <f t="shared" si="514"/>
        <v>0</v>
      </c>
      <c r="AI160" s="147">
        <f t="shared" si="515"/>
        <v>0</v>
      </c>
      <c r="AJ160" s="158">
        <f>IF(AI160&gt;0,I160*VLOOKUP(T160,'$ alcantarillado'!$I$6:$K$22,3),0)</f>
        <v>0</v>
      </c>
      <c r="AK160" s="149">
        <f t="shared" si="481"/>
        <v>0</v>
      </c>
      <c r="AL160" s="149">
        <f t="shared" si="482"/>
        <v>0</v>
      </c>
      <c r="AM160" s="158">
        <f t="shared" si="498"/>
        <v>0</v>
      </c>
      <c r="AN160" s="175">
        <v>0</v>
      </c>
      <c r="AO160" s="159" t="str">
        <f t="shared" si="483"/>
        <v/>
      </c>
      <c r="AP160" s="220"/>
      <c r="AQ160" s="154"/>
      <c r="AR160" s="166"/>
    </row>
    <row r="161" spans="1:44" x14ac:dyDescent="0.25">
      <c r="A161" s="230"/>
      <c r="B161" s="230"/>
      <c r="C161" s="230"/>
      <c r="D161" s="230"/>
      <c r="E161" s="127">
        <v>1</v>
      </c>
      <c r="F161" s="132">
        <f>+$D$151-$B$5</f>
        <v>47.629999999999995</v>
      </c>
      <c r="G161" s="127">
        <v>3</v>
      </c>
      <c r="H161" s="129">
        <f>+H156-$B$4</f>
        <v>46.32</v>
      </c>
      <c r="I161" s="129">
        <f t="shared" ref="I161" si="522">+I160</f>
        <v>80</v>
      </c>
      <c r="J161" s="143">
        <f>+(F161-H161)/I161</f>
        <v>1.6374999999999938E-2</v>
      </c>
      <c r="K161" s="129">
        <f t="shared" ref="K161" si="523">+K160</f>
        <v>948</v>
      </c>
      <c r="L161" s="132">
        <f>IF(K161&lt;38,K161^0.3686*0.7401,IF(K161&lt;235,K161^0.4193*0.6215,IF(K161&lt;932,K161*0.0092+4.2493,K161*0.0069+6.7345)))</f>
        <v>13.275700000000001</v>
      </c>
      <c r="M161" s="133">
        <f>+L161/1000</f>
        <v>1.32757E-2</v>
      </c>
      <c r="N161" s="133">
        <f t="shared" si="474"/>
        <v>0.11771825972235324</v>
      </c>
      <c r="O161" s="133">
        <f t="shared" si="475"/>
        <v>4.634577154423356</v>
      </c>
      <c r="P161" s="134">
        <f t="shared" si="476"/>
        <v>6</v>
      </c>
      <c r="Q161" s="135">
        <f>IF(O161&gt;0,VLOOKUP(P161,'$ alcantarillado'!$I$5:$L$22,4,FALSE),"0")</f>
        <v>0.14499999999999999</v>
      </c>
      <c r="R161" s="135">
        <f t="shared" si="477"/>
        <v>2.314489495839939E-2</v>
      </c>
      <c r="S161" s="136">
        <f t="shared" si="478"/>
        <v>0.57359085119469022</v>
      </c>
      <c r="T161" s="134">
        <f>+IF(S161&gt;$B$13,VLOOKUP(P161,'$ alcantarillado'!$I$6:$N$22,5),P161)</f>
        <v>6</v>
      </c>
      <c r="U161" s="135">
        <f>IF(O161&gt;0,VLOOKUP(T161,'$ alcantarillado'!$I$5:$L$22,4),"0")</f>
        <v>0.14499999999999999</v>
      </c>
      <c r="V161" s="135">
        <f t="shared" si="479"/>
        <v>2.314489495839939E-2</v>
      </c>
      <c r="W161" s="136">
        <f t="shared" si="480"/>
        <v>0.57359085119469022</v>
      </c>
      <c r="X161" s="136">
        <f>IF(T161&gt;0,4*V161/(PI()*(U161)^2),"")</f>
        <v>1.4016169093829063</v>
      </c>
      <c r="Y161" s="135">
        <f>IF(T161&gt;0,(VLOOKUP($W161,Relaciones!$A$4:$D$108,2)),"")</f>
        <v>0.88500000000000001</v>
      </c>
      <c r="Z161" s="136">
        <f>IF(T161&gt;0,Y161*X161,"")</f>
        <v>1.240430964803872</v>
      </c>
      <c r="AA161" s="136">
        <f>IF(T161&gt;0,250*U161*J161,"")</f>
        <v>0.59359374999999781</v>
      </c>
      <c r="AB161" s="137" t="str">
        <f>IF(T161&gt;0,IF(W161&lt;=$B$13,"OK","No Cumple"),"")</f>
        <v>OK</v>
      </c>
      <c r="AC161" s="137" t="str">
        <f>IF(T161&gt;0,IF(Z161&gt;=$B$12,"OK","No Cumple"),"")</f>
        <v>OK</v>
      </c>
      <c r="AD161" s="137" t="str">
        <f>IF(T161&gt;0,IF(AA161&gt;$B$14,"OK","No Cumple"),"")</f>
        <v>OK</v>
      </c>
      <c r="AE161" s="138">
        <f>+IF(AB161="OK",1,0)</f>
        <v>1</v>
      </c>
      <c r="AF161" s="138">
        <f>+IF(AC161="OK",1,0)</f>
        <v>1</v>
      </c>
      <c r="AG161" s="138">
        <f>+IF(AD161="OK",1,0)</f>
        <v>1</v>
      </c>
      <c r="AH161" s="138">
        <f>SUM(AE161:AG161)</f>
        <v>3</v>
      </c>
      <c r="AI161" s="137">
        <f>IF(AH161=3,2*$B$7+U161,0)</f>
        <v>0.64500000000000002</v>
      </c>
      <c r="AJ161" s="139">
        <f>IF(AI161&gt;0,I161*VLOOKUP(T161,'$ alcantarillado'!$I$6:$K$22,3),0)</f>
        <v>1912173.3333333335</v>
      </c>
      <c r="AK161" s="139">
        <f t="shared" si="481"/>
        <v>2570454.0000000042</v>
      </c>
      <c r="AL161" s="139">
        <f t="shared" si="482"/>
        <v>938784.44500000204</v>
      </c>
      <c r="AM161" s="139">
        <f>IF(AJ161&gt;0,AJ161+AK161+AL161,0)</f>
        <v>5421411.7783333398</v>
      </c>
      <c r="AN161" s="174">
        <v>0</v>
      </c>
      <c r="AO161" s="140">
        <f t="shared" si="483"/>
        <v>5421411.7783333398</v>
      </c>
      <c r="AP161" s="217">
        <f>+MIN(AO161:AO165)</f>
        <v>5421411.7783333398</v>
      </c>
      <c r="AQ161" s="129"/>
      <c r="AR161" s="163"/>
    </row>
    <row r="162" spans="1:44" x14ac:dyDescent="0.25">
      <c r="A162" s="230"/>
      <c r="B162" s="230"/>
      <c r="C162" s="230"/>
      <c r="D162" s="230"/>
      <c r="E162" s="141">
        <v>2</v>
      </c>
      <c r="F162" s="128">
        <f>+F161-$B$4</f>
        <v>47.129999999999995</v>
      </c>
      <c r="G162" s="141">
        <v>3</v>
      </c>
      <c r="H162" s="142">
        <f>+H161</f>
        <v>46.32</v>
      </c>
      <c r="I162" s="142">
        <f>+I161</f>
        <v>80</v>
      </c>
      <c r="J162" s="143">
        <f t="shared" si="484"/>
        <v>1.012499999999994E-2</v>
      </c>
      <c r="K162" s="142">
        <f>+K161</f>
        <v>948</v>
      </c>
      <c r="L162" s="128">
        <f t="shared" si="485"/>
        <v>13.275700000000001</v>
      </c>
      <c r="M162" s="144">
        <f t="shared" ref="M162:M165" si="524">+L162/1000</f>
        <v>1.32757E-2</v>
      </c>
      <c r="N162" s="144">
        <f t="shared" si="474"/>
        <v>0.12882236265028296</v>
      </c>
      <c r="O162" s="144">
        <f t="shared" si="475"/>
        <v>5.0717465610347627</v>
      </c>
      <c r="P162" s="145">
        <f t="shared" si="476"/>
        <v>6</v>
      </c>
      <c r="Q162" s="113">
        <f>IF(O162&gt;0,VLOOKUP(P162,'$ alcantarillado'!$I$5:$L$22,4,FALSE),"0")</f>
        <v>0.14499999999999999</v>
      </c>
      <c r="R162" s="113">
        <f t="shared" si="477"/>
        <v>1.8199609754532414E-2</v>
      </c>
      <c r="S162" s="146">
        <f t="shared" si="478"/>
        <v>0.72944970683746835</v>
      </c>
      <c r="T162" s="145">
        <f>+IF(S162&gt;$B$13,VLOOKUP(P162,'$ alcantarillado'!$I$6:$N$22,5),P162)</f>
        <v>6</v>
      </c>
      <c r="U162" s="113">
        <f>IF(O162&gt;0,VLOOKUP(T162,'$ alcantarillado'!$I$5:$L$22,4),"0")</f>
        <v>0.14499999999999999</v>
      </c>
      <c r="V162" s="113">
        <f t="shared" si="479"/>
        <v>1.8199609754532414E-2</v>
      </c>
      <c r="W162" s="146">
        <f t="shared" si="480"/>
        <v>0.72944970683746835</v>
      </c>
      <c r="X162" s="146">
        <f t="shared" ref="X162:X165" si="525">IF(T162&gt;0,4*V162/(PI()*(U162)^2),"")</f>
        <v>1.1021385416512952</v>
      </c>
      <c r="Y162" s="113">
        <f>IF(T162&gt;0,(VLOOKUP($W162,Relaciones!$A$4:$D$108,2)),"")</f>
        <v>0.95499999999999996</v>
      </c>
      <c r="Z162" s="146">
        <f t="shared" ref="Z162:Z165" si="526">IF(T162&gt;0,Y162*X162,"")</f>
        <v>1.0525423072769868</v>
      </c>
      <c r="AA162" s="146">
        <f t="shared" ref="AA162:AA165" si="527">IF(T162&gt;0,250*U162*J162,"")</f>
        <v>0.36703124999999781</v>
      </c>
      <c r="AB162" s="147" t="str">
        <f t="shared" ref="AB162:AB165" si="528">IF(T162&gt;0,IF(W162&lt;=$B$13,"OK","No Cumple"),"")</f>
        <v>OK</v>
      </c>
      <c r="AC162" s="147" t="str">
        <f t="shared" ref="AC162:AC165" si="529">IF(T162&gt;0,IF(Z162&gt;=$B$12,"OK","No Cumple"),"")</f>
        <v>OK</v>
      </c>
      <c r="AD162" s="147" t="str">
        <f t="shared" ref="AD162:AD165" si="530">IF(T162&gt;0,IF(AA162&gt;$B$14,"OK","No Cumple"),"")</f>
        <v>OK</v>
      </c>
      <c r="AE162" s="148">
        <f t="shared" ref="AE162:AE165" si="531">+IF(AB162="OK",1,0)</f>
        <v>1</v>
      </c>
      <c r="AF162" s="148">
        <f t="shared" ref="AF162:AF165" si="532">+IF(AC162="OK",1,0)</f>
        <v>1</v>
      </c>
      <c r="AG162" s="148">
        <f t="shared" ref="AG162:AG165" si="533">+IF(AD162="OK",1,0)</f>
        <v>1</v>
      </c>
      <c r="AH162" s="148">
        <f t="shared" ref="AH162:AH165" si="534">SUM(AE162:AG162)</f>
        <v>3</v>
      </c>
      <c r="AI162" s="147">
        <f t="shared" ref="AI162:AI165" si="535">IF(AH162=3,2*$B$7+U162,0)</f>
        <v>0.64500000000000002</v>
      </c>
      <c r="AJ162" s="149">
        <f>IF(AI162&gt;0,I162*VLOOKUP(T162,'$ alcantarillado'!$I$6:$K$22,3),0)</f>
        <v>1912173.3333333335</v>
      </c>
      <c r="AK162" s="149">
        <f t="shared" si="481"/>
        <v>3034854.0000000042</v>
      </c>
      <c r="AL162" s="149">
        <f t="shared" si="482"/>
        <v>1287774.9450000019</v>
      </c>
      <c r="AM162" s="149">
        <f t="shared" si="498"/>
        <v>6234802.2783333398</v>
      </c>
      <c r="AN162" s="175">
        <v>0</v>
      </c>
      <c r="AO162" s="150">
        <f t="shared" si="483"/>
        <v>6234802.2783333398</v>
      </c>
      <c r="AP162" s="218"/>
      <c r="AQ162" s="142"/>
      <c r="AR162" s="165"/>
    </row>
    <row r="163" spans="1:44" x14ac:dyDescent="0.25">
      <c r="A163" s="230"/>
      <c r="B163" s="230"/>
      <c r="C163" s="230"/>
      <c r="D163" s="230"/>
      <c r="E163" s="151">
        <v>3</v>
      </c>
      <c r="F163" s="128">
        <f t="shared" ref="F163:F165" si="536">+F162-$B$4</f>
        <v>46.629999999999995</v>
      </c>
      <c r="G163" s="151">
        <v>3</v>
      </c>
      <c r="H163" s="142">
        <f t="shared" ref="H163" si="537">+H162</f>
        <v>46.32</v>
      </c>
      <c r="I163" s="142">
        <f t="shared" ref="I163" si="538">+I162</f>
        <v>80</v>
      </c>
      <c r="J163" s="143">
        <f t="shared" si="484"/>
        <v>3.8749999999999397E-3</v>
      </c>
      <c r="K163" s="142">
        <f t="shared" ref="K163:K164" si="539">+K162</f>
        <v>948</v>
      </c>
      <c r="L163" s="128">
        <f t="shared" si="485"/>
        <v>13.275700000000001</v>
      </c>
      <c r="M163" s="144">
        <f t="shared" si="524"/>
        <v>1.32757E-2</v>
      </c>
      <c r="N163" s="144">
        <f t="shared" si="474"/>
        <v>0.15424172849385967</v>
      </c>
      <c r="O163" s="144">
        <f t="shared" si="475"/>
        <v>6.0725089958212468</v>
      </c>
      <c r="P163" s="145">
        <f t="shared" si="476"/>
        <v>8</v>
      </c>
      <c r="Q163" s="113">
        <f>IF(O163&gt;0,VLOOKUP(P163,'$ alcantarillado'!$I$5:$L$22,4,FALSE),"0")</f>
        <v>0.182</v>
      </c>
      <c r="R163" s="113">
        <f t="shared" si="477"/>
        <v>2.0639988066721529E-2</v>
      </c>
      <c r="S163" s="146">
        <f t="shared" si="478"/>
        <v>0.6432028912557759</v>
      </c>
      <c r="T163" s="145">
        <f>+IF(S163&gt;$B$13,VLOOKUP(P163,'$ alcantarillado'!$I$6:$N$22,5),P163)</f>
        <v>8</v>
      </c>
      <c r="U163" s="113">
        <f>IF(O163&gt;0,VLOOKUP(T163,'$ alcantarillado'!$I$5:$L$22,4),"0")</f>
        <v>0.182</v>
      </c>
      <c r="V163" s="113">
        <f t="shared" si="479"/>
        <v>2.0639988066721529E-2</v>
      </c>
      <c r="W163" s="146">
        <f t="shared" si="480"/>
        <v>0.6432028912557759</v>
      </c>
      <c r="X163" s="146">
        <f t="shared" si="525"/>
        <v>0.79337184547191486</v>
      </c>
      <c r="Y163" s="113">
        <f>IF(T163&gt;0,(VLOOKUP($W163,Relaciones!$A$4:$D$108,2)),"")</f>
        <v>0.91800000000000004</v>
      </c>
      <c r="Z163" s="146">
        <f t="shared" si="526"/>
        <v>0.72831535414321791</v>
      </c>
      <c r="AA163" s="146">
        <f t="shared" si="527"/>
        <v>0.17631249999999726</v>
      </c>
      <c r="AB163" s="147" t="str">
        <f t="shared" si="528"/>
        <v>OK</v>
      </c>
      <c r="AC163" s="147" t="str">
        <f t="shared" si="529"/>
        <v>OK</v>
      </c>
      <c r="AD163" s="147" t="str">
        <f t="shared" si="530"/>
        <v>OK</v>
      </c>
      <c r="AE163" s="148">
        <f t="shared" si="531"/>
        <v>1</v>
      </c>
      <c r="AF163" s="148">
        <f t="shared" si="532"/>
        <v>1</v>
      </c>
      <c r="AG163" s="148">
        <f t="shared" si="533"/>
        <v>1</v>
      </c>
      <c r="AH163" s="148">
        <f t="shared" si="534"/>
        <v>3</v>
      </c>
      <c r="AI163" s="147">
        <f t="shared" si="535"/>
        <v>0.68199999999999994</v>
      </c>
      <c r="AJ163" s="149">
        <f>IF(AI163&gt;0,I163*VLOOKUP(T163,'$ alcantarillado'!$I$6:$K$22,3),0)</f>
        <v>2654586.666666667</v>
      </c>
      <c r="AK163" s="149">
        <f t="shared" si="481"/>
        <v>3754491.8400000036</v>
      </c>
      <c r="AL163" s="149">
        <f t="shared" si="482"/>
        <v>1662590.7420000019</v>
      </c>
      <c r="AM163" s="149">
        <f t="shared" si="498"/>
        <v>8071669.248666672</v>
      </c>
      <c r="AN163" s="175">
        <v>0</v>
      </c>
      <c r="AO163" s="150">
        <f t="shared" si="483"/>
        <v>8071669.248666672</v>
      </c>
      <c r="AP163" s="219"/>
      <c r="AQ163" s="142">
        <v>1</v>
      </c>
      <c r="AR163" s="165">
        <v>3</v>
      </c>
    </row>
    <row r="164" spans="1:44" x14ac:dyDescent="0.25">
      <c r="A164" s="230"/>
      <c r="B164" s="230"/>
      <c r="C164" s="230"/>
      <c r="D164" s="230"/>
      <c r="E164" s="151">
        <v>4</v>
      </c>
      <c r="F164" s="128">
        <f t="shared" si="536"/>
        <v>46.129999999999995</v>
      </c>
      <c r="G164" s="151">
        <v>3</v>
      </c>
      <c r="H164" s="142">
        <f t="shared" ref="H164" si="540">+H163</f>
        <v>46.32</v>
      </c>
      <c r="I164" s="142">
        <f t="shared" ref="I164" si="541">+I163</f>
        <v>80</v>
      </c>
      <c r="J164" s="143">
        <f>+(F164-H164)/I164</f>
        <v>-2.3750000000000602E-3</v>
      </c>
      <c r="K164" s="142">
        <f t="shared" si="539"/>
        <v>948</v>
      </c>
      <c r="L164" s="128">
        <f t="shared" si="485"/>
        <v>13.275700000000001</v>
      </c>
      <c r="M164" s="144">
        <f t="shared" si="524"/>
        <v>1.32757E-2</v>
      </c>
      <c r="N164" s="144">
        <f t="shared" si="474"/>
        <v>0</v>
      </c>
      <c r="O164" s="144">
        <f t="shared" si="475"/>
        <v>0</v>
      </c>
      <c r="P164" s="145">
        <f t="shared" si="476"/>
        <v>0</v>
      </c>
      <c r="Q164" s="113" t="str">
        <f>IF(O164&gt;0,VLOOKUP(P164,'$ alcantarillado'!$I$5:$L$22,4,FALSE),"0")</f>
        <v>0</v>
      </c>
      <c r="R164" s="113" t="str">
        <f t="shared" si="477"/>
        <v/>
      </c>
      <c r="S164" s="146">
        <f t="shared" si="478"/>
        <v>0</v>
      </c>
      <c r="T164" s="145">
        <f>+IF(S164&gt;$B$13,VLOOKUP(P164,'$ alcantarillado'!$I$6:$N$22,5),P164)</f>
        <v>0</v>
      </c>
      <c r="U164" s="113" t="str">
        <f>IF(O164&gt;0,VLOOKUP(T164,'$ alcantarillado'!$I$5:$L$22,4),"0")</f>
        <v>0</v>
      </c>
      <c r="V164" s="113" t="str">
        <f t="shared" si="479"/>
        <v/>
      </c>
      <c r="W164" s="146">
        <f t="shared" si="480"/>
        <v>0</v>
      </c>
      <c r="X164" s="146" t="str">
        <f t="shared" si="525"/>
        <v/>
      </c>
      <c r="Y164" s="113" t="str">
        <f>IF(T164&gt;0,(VLOOKUP($W164,Relaciones!$A$4:$D$108,2)),"")</f>
        <v/>
      </c>
      <c r="Z164" s="146" t="str">
        <f t="shared" si="526"/>
        <v/>
      </c>
      <c r="AA164" s="146" t="str">
        <f t="shared" si="527"/>
        <v/>
      </c>
      <c r="AB164" s="147" t="str">
        <f t="shared" si="528"/>
        <v/>
      </c>
      <c r="AC164" s="147" t="str">
        <f t="shared" si="529"/>
        <v/>
      </c>
      <c r="AD164" s="147" t="str">
        <f t="shared" si="530"/>
        <v/>
      </c>
      <c r="AE164" s="148">
        <f t="shared" si="531"/>
        <v>0</v>
      </c>
      <c r="AF164" s="148">
        <f t="shared" si="532"/>
        <v>0</v>
      </c>
      <c r="AG164" s="148">
        <f t="shared" si="533"/>
        <v>0</v>
      </c>
      <c r="AH164" s="148">
        <f t="shared" si="534"/>
        <v>0</v>
      </c>
      <c r="AI164" s="147">
        <f t="shared" si="535"/>
        <v>0</v>
      </c>
      <c r="AJ164" s="149">
        <f>IF(AI164&gt;0,I164*VLOOKUP(T164,'$ alcantarillado'!$I$6:$K$22,3),0)</f>
        <v>0</v>
      </c>
      <c r="AK164" s="149">
        <f t="shared" si="481"/>
        <v>0</v>
      </c>
      <c r="AL164" s="149">
        <f t="shared" si="482"/>
        <v>0</v>
      </c>
      <c r="AM164" s="149">
        <f t="shared" si="498"/>
        <v>0</v>
      </c>
      <c r="AN164" s="175">
        <v>0</v>
      </c>
      <c r="AO164" s="150" t="str">
        <f t="shared" si="483"/>
        <v/>
      </c>
      <c r="AP164" s="219"/>
      <c r="AQ164" s="142"/>
      <c r="AR164" s="165"/>
    </row>
    <row r="165" spans="1:44" ht="15.75" thickBot="1" x14ac:dyDescent="0.3">
      <c r="A165" s="230"/>
      <c r="B165" s="230"/>
      <c r="C165" s="230"/>
      <c r="D165" s="230"/>
      <c r="E165" s="152">
        <v>5</v>
      </c>
      <c r="F165" s="153">
        <f t="shared" si="536"/>
        <v>45.629999999999995</v>
      </c>
      <c r="G165" s="152">
        <v>3</v>
      </c>
      <c r="H165" s="154">
        <f>+H164</f>
        <v>46.32</v>
      </c>
      <c r="I165" s="154">
        <f>+I164</f>
        <v>80</v>
      </c>
      <c r="J165" s="155">
        <f t="shared" si="484"/>
        <v>-8.6250000000000597E-3</v>
      </c>
      <c r="K165" s="154">
        <f>+K164</f>
        <v>948</v>
      </c>
      <c r="L165" s="153">
        <f t="shared" si="485"/>
        <v>13.275700000000001</v>
      </c>
      <c r="M165" s="156">
        <f t="shared" si="524"/>
        <v>1.32757E-2</v>
      </c>
      <c r="N165" s="156">
        <f t="shared" si="474"/>
        <v>0</v>
      </c>
      <c r="O165" s="156">
        <f t="shared" si="475"/>
        <v>0</v>
      </c>
      <c r="P165" s="157">
        <f t="shared" si="476"/>
        <v>0</v>
      </c>
      <c r="Q165" s="113" t="str">
        <f>IF(O165&gt;0,VLOOKUP(P165,'$ alcantarillado'!$I$5:$L$22,4,FALSE),"0")</f>
        <v>0</v>
      </c>
      <c r="R165" s="160" t="str">
        <f t="shared" si="477"/>
        <v/>
      </c>
      <c r="S165" s="146">
        <f t="shared" si="478"/>
        <v>0</v>
      </c>
      <c r="T165" s="145">
        <f>+IF(S165&gt;$B$13,VLOOKUP(P165,'$ alcantarillado'!$I$6:$N$22,5),P165)</f>
        <v>0</v>
      </c>
      <c r="U165" s="113" t="str">
        <f>IF(O165&gt;0,VLOOKUP(T165,'$ alcantarillado'!$I$5:$L$22,4),"0")</f>
        <v>0</v>
      </c>
      <c r="V165" s="113" t="str">
        <f t="shared" si="479"/>
        <v/>
      </c>
      <c r="W165" s="146">
        <f t="shared" si="480"/>
        <v>0</v>
      </c>
      <c r="X165" s="146" t="str">
        <f t="shared" si="525"/>
        <v/>
      </c>
      <c r="Y165" s="113" t="str">
        <f>IF(T165&gt;0,(VLOOKUP($W165,Relaciones!$A$4:$D$108,2)),"")</f>
        <v/>
      </c>
      <c r="Z165" s="146" t="str">
        <f t="shared" si="526"/>
        <v/>
      </c>
      <c r="AA165" s="146" t="str">
        <f t="shared" si="527"/>
        <v/>
      </c>
      <c r="AB165" s="147" t="str">
        <f t="shared" si="528"/>
        <v/>
      </c>
      <c r="AC165" s="147" t="str">
        <f t="shared" si="529"/>
        <v/>
      </c>
      <c r="AD165" s="147" t="str">
        <f t="shared" si="530"/>
        <v/>
      </c>
      <c r="AE165" s="148">
        <f t="shared" si="531"/>
        <v>0</v>
      </c>
      <c r="AF165" s="148">
        <f t="shared" si="532"/>
        <v>0</v>
      </c>
      <c r="AG165" s="148">
        <f t="shared" si="533"/>
        <v>0</v>
      </c>
      <c r="AH165" s="148">
        <f t="shared" si="534"/>
        <v>0</v>
      </c>
      <c r="AI165" s="147">
        <f t="shared" si="535"/>
        <v>0</v>
      </c>
      <c r="AJ165" s="158">
        <f>IF(AI165&gt;0,I165*VLOOKUP(T165,'$ alcantarillado'!$I$6:$K$22,3),0)</f>
        <v>0</v>
      </c>
      <c r="AK165" s="149">
        <f t="shared" si="481"/>
        <v>0</v>
      </c>
      <c r="AL165" s="149">
        <f t="shared" si="482"/>
        <v>0</v>
      </c>
      <c r="AM165" s="158">
        <f t="shared" si="498"/>
        <v>0</v>
      </c>
      <c r="AN165" s="175">
        <v>0</v>
      </c>
      <c r="AO165" s="159" t="str">
        <f t="shared" si="483"/>
        <v/>
      </c>
      <c r="AP165" s="220"/>
      <c r="AQ165" s="154"/>
      <c r="AR165" s="166"/>
    </row>
    <row r="166" spans="1:44" x14ac:dyDescent="0.25">
      <c r="A166" s="230"/>
      <c r="B166" s="230"/>
      <c r="C166" s="230"/>
      <c r="D166" s="230"/>
      <c r="E166" s="127">
        <v>1</v>
      </c>
      <c r="F166" s="132">
        <f>+$D$151-$B$5</f>
        <v>47.629999999999995</v>
      </c>
      <c r="G166" s="127">
        <v>4</v>
      </c>
      <c r="H166" s="129">
        <f>+H161-$B$4</f>
        <v>45.82</v>
      </c>
      <c r="I166" s="142">
        <f>+I161</f>
        <v>80</v>
      </c>
      <c r="J166" s="143">
        <f>+(F166-H166)/I166</f>
        <v>2.262499999999994E-2</v>
      </c>
      <c r="K166" s="142">
        <f>+K161</f>
        <v>948</v>
      </c>
      <c r="L166" s="132">
        <f>IF(K166&lt;38,K166^0.3686*0.7401,IF(K166&lt;235,K166^0.4193*0.6215,IF(K166&lt;932,K166*0.0092+4.2493,K166*0.0069+6.7345)))</f>
        <v>13.275700000000001</v>
      </c>
      <c r="M166" s="133">
        <f>+L166/1000</f>
        <v>1.32757E-2</v>
      </c>
      <c r="N166" s="133">
        <f t="shared" si="474"/>
        <v>0.11079431283583996</v>
      </c>
      <c r="O166" s="133">
        <f t="shared" si="475"/>
        <v>4.3619808203086601</v>
      </c>
      <c r="P166" s="134">
        <f t="shared" si="476"/>
        <v>6</v>
      </c>
      <c r="Q166" s="135">
        <f>IF(O166&gt;0,VLOOKUP(P166,'$ alcantarillado'!$I$5:$L$22,4,FALSE),"0")</f>
        <v>0.14499999999999999</v>
      </c>
      <c r="R166" s="135">
        <f t="shared" si="477"/>
        <v>2.7205634160103888E-2</v>
      </c>
      <c r="S166" s="136">
        <f t="shared" si="478"/>
        <v>0.48797612736660079</v>
      </c>
      <c r="T166" s="134">
        <f>+IF(S166&gt;$B$13,VLOOKUP(P166,'$ alcantarillado'!$I$6:$N$22,5),P166)</f>
        <v>6</v>
      </c>
      <c r="U166" s="135">
        <f>IF(O166&gt;0,VLOOKUP(T166,'$ alcantarillado'!$I$5:$L$22,4),"0")</f>
        <v>0.14499999999999999</v>
      </c>
      <c r="V166" s="135">
        <f t="shared" si="479"/>
        <v>2.7205634160103888E-2</v>
      </c>
      <c r="W166" s="136">
        <f t="shared" si="480"/>
        <v>0.48797612736660079</v>
      </c>
      <c r="X166" s="136">
        <f>IF(T166&gt;0,4*V166/(PI()*(U166)^2),"")</f>
        <v>1.6475286207962934</v>
      </c>
      <c r="Y166" s="135">
        <f>IF(T166&gt;0,(VLOOKUP($W166,Relaciones!$A$4:$D$108,2)),"")</f>
        <v>0.84</v>
      </c>
      <c r="Z166" s="136">
        <f>IF(T166&gt;0,Y166*X166,"")</f>
        <v>1.3839240414688865</v>
      </c>
      <c r="AA166" s="136">
        <f>IF(T166&gt;0,250*U166*J166,"")</f>
        <v>0.82015624999999781</v>
      </c>
      <c r="AB166" s="137" t="str">
        <f>IF(T166&gt;0,IF(W166&lt;=$B$13,"OK","No Cumple"),"")</f>
        <v>OK</v>
      </c>
      <c r="AC166" s="137" t="str">
        <f>IF(T166&gt;0,IF(Z166&gt;=$B$12,"OK","No Cumple"),"")</f>
        <v>OK</v>
      </c>
      <c r="AD166" s="137" t="str">
        <f>IF(T166&gt;0,IF(AA166&gt;$B$14,"OK","No Cumple"),"")</f>
        <v>OK</v>
      </c>
      <c r="AE166" s="138">
        <f>+IF(AB166="OK",1,0)</f>
        <v>1</v>
      </c>
      <c r="AF166" s="138">
        <f>+IF(AC166="OK",1,0)</f>
        <v>1</v>
      </c>
      <c r="AG166" s="138">
        <f>+IF(AD166="OK",1,0)</f>
        <v>1</v>
      </c>
      <c r="AH166" s="138">
        <f>SUM(AE166:AG166)</f>
        <v>3</v>
      </c>
      <c r="AI166" s="137">
        <f>IF(AH166=3,2*$B$7+U166,0)</f>
        <v>0.64500000000000002</v>
      </c>
      <c r="AJ166" s="139">
        <f>IF(AI166&gt;0,I166*VLOOKUP(T166,'$ alcantarillado'!$I$6:$K$22,3),0)</f>
        <v>1912173.3333333335</v>
      </c>
      <c r="AK166" s="139">
        <f t="shared" si="481"/>
        <v>2802654.0000000047</v>
      </c>
      <c r="AL166" s="139">
        <f t="shared" si="482"/>
        <v>938784.44500000204</v>
      </c>
      <c r="AM166" s="139">
        <f>IF(AJ166&gt;0,AJ166+AK166+AL166,0)</f>
        <v>5653611.7783333398</v>
      </c>
      <c r="AN166" s="174">
        <v>0</v>
      </c>
      <c r="AO166" s="140">
        <f t="shared" si="483"/>
        <v>5653611.7783333398</v>
      </c>
      <c r="AP166" s="217">
        <f t="shared" ref="AP166" si="542">+MIN(AO166:AO170)</f>
        <v>5653611.7783333398</v>
      </c>
      <c r="AQ166" s="129"/>
      <c r="AR166" s="163"/>
    </row>
    <row r="167" spans="1:44" x14ac:dyDescent="0.25">
      <c r="A167" s="230"/>
      <c r="B167" s="230"/>
      <c r="C167" s="230"/>
      <c r="D167" s="230"/>
      <c r="E167" s="141">
        <v>2</v>
      </c>
      <c r="F167" s="128">
        <f>+F166-$B$4</f>
        <v>47.129999999999995</v>
      </c>
      <c r="G167" s="141">
        <v>4</v>
      </c>
      <c r="H167" s="142">
        <f>+H166</f>
        <v>45.82</v>
      </c>
      <c r="I167" s="142">
        <f>+I166</f>
        <v>80</v>
      </c>
      <c r="J167" s="143">
        <f t="shared" si="484"/>
        <v>1.6374999999999938E-2</v>
      </c>
      <c r="K167" s="142">
        <f>+K166</f>
        <v>948</v>
      </c>
      <c r="L167" s="128">
        <f t="shared" si="485"/>
        <v>13.275700000000001</v>
      </c>
      <c r="M167" s="144">
        <f t="shared" ref="M167:M170" si="543">+L167/1000</f>
        <v>1.32757E-2</v>
      </c>
      <c r="N167" s="144">
        <f t="shared" si="474"/>
        <v>0.11771825972235324</v>
      </c>
      <c r="O167" s="144">
        <f t="shared" si="475"/>
        <v>4.634577154423356</v>
      </c>
      <c r="P167" s="145">
        <f t="shared" si="476"/>
        <v>6</v>
      </c>
      <c r="Q167" s="113">
        <f>IF(O167&gt;0,VLOOKUP(P167,'$ alcantarillado'!$I$5:$L$22,4,FALSE),"0")</f>
        <v>0.14499999999999999</v>
      </c>
      <c r="R167" s="113">
        <f t="shared" si="477"/>
        <v>2.314489495839939E-2</v>
      </c>
      <c r="S167" s="146">
        <f t="shared" si="478"/>
        <v>0.57359085119469022</v>
      </c>
      <c r="T167" s="145">
        <f>+IF(S167&gt;$B$13,VLOOKUP(P167,'$ alcantarillado'!$I$6:$N$22,5),P167)</f>
        <v>6</v>
      </c>
      <c r="U167" s="113">
        <f>IF(O167&gt;0,VLOOKUP(T167,'$ alcantarillado'!$I$5:$L$22,4),"0")</f>
        <v>0.14499999999999999</v>
      </c>
      <c r="V167" s="113">
        <f t="shared" si="479"/>
        <v>2.314489495839939E-2</v>
      </c>
      <c r="W167" s="146">
        <f t="shared" si="480"/>
        <v>0.57359085119469022</v>
      </c>
      <c r="X167" s="146">
        <f t="shared" ref="X167:X170" si="544">IF(T167&gt;0,4*V167/(PI()*(U167)^2),"")</f>
        <v>1.4016169093829063</v>
      </c>
      <c r="Y167" s="113">
        <f>IF(T167&gt;0,(VLOOKUP($W167,Relaciones!$A$4:$D$108,2)),"")</f>
        <v>0.88500000000000001</v>
      </c>
      <c r="Z167" s="146">
        <f t="shared" ref="Z167:Z170" si="545">IF(T167&gt;0,Y167*X167,"")</f>
        <v>1.240430964803872</v>
      </c>
      <c r="AA167" s="146">
        <f t="shared" ref="AA167:AA170" si="546">IF(T167&gt;0,250*U167*J167,"")</f>
        <v>0.59359374999999781</v>
      </c>
      <c r="AB167" s="147" t="str">
        <f t="shared" ref="AB167:AB170" si="547">IF(T167&gt;0,IF(W167&lt;=$B$13,"OK","No Cumple"),"")</f>
        <v>OK</v>
      </c>
      <c r="AC167" s="147" t="str">
        <f t="shared" ref="AC167:AC170" si="548">IF(T167&gt;0,IF(Z167&gt;=$B$12,"OK","No Cumple"),"")</f>
        <v>OK</v>
      </c>
      <c r="AD167" s="147" t="str">
        <f t="shared" ref="AD167:AD170" si="549">IF(T167&gt;0,IF(AA167&gt;$B$14,"OK","No Cumple"),"")</f>
        <v>OK</v>
      </c>
      <c r="AE167" s="148">
        <f t="shared" ref="AE167:AE170" si="550">+IF(AB167="OK",1,0)</f>
        <v>1</v>
      </c>
      <c r="AF167" s="148">
        <f t="shared" ref="AF167:AF170" si="551">+IF(AC167="OK",1,0)</f>
        <v>1</v>
      </c>
      <c r="AG167" s="148">
        <f t="shared" ref="AG167:AG170" si="552">+IF(AD167="OK",1,0)</f>
        <v>1</v>
      </c>
      <c r="AH167" s="148">
        <f t="shared" ref="AH167:AH170" si="553">SUM(AE167:AG167)</f>
        <v>3</v>
      </c>
      <c r="AI167" s="147">
        <f t="shared" ref="AI167:AI170" si="554">IF(AH167=3,2*$B$7+U167,0)</f>
        <v>0.64500000000000002</v>
      </c>
      <c r="AJ167" s="149">
        <f>IF(AI167&gt;0,I167*VLOOKUP(T167,'$ alcantarillado'!$I$6:$K$22,3),0)</f>
        <v>1912173.3333333335</v>
      </c>
      <c r="AK167" s="149">
        <f t="shared" si="481"/>
        <v>3267054.0000000037</v>
      </c>
      <c r="AL167" s="149">
        <f t="shared" si="482"/>
        <v>1287774.9450000019</v>
      </c>
      <c r="AM167" s="149">
        <f t="shared" si="498"/>
        <v>6467002.2783333398</v>
      </c>
      <c r="AN167" s="175">
        <v>0</v>
      </c>
      <c r="AO167" s="150">
        <f t="shared" si="483"/>
        <v>6467002.2783333398</v>
      </c>
      <c r="AP167" s="218"/>
      <c r="AQ167" s="142"/>
      <c r="AR167" s="165"/>
    </row>
    <row r="168" spans="1:44" x14ac:dyDescent="0.25">
      <c r="A168" s="230"/>
      <c r="B168" s="230"/>
      <c r="C168" s="230"/>
      <c r="D168" s="230"/>
      <c r="E168" s="151">
        <v>3</v>
      </c>
      <c r="F168" s="128">
        <f t="shared" ref="F168:F170" si="555">+F167-$B$4</f>
        <v>46.629999999999995</v>
      </c>
      <c r="G168" s="151">
        <v>4</v>
      </c>
      <c r="H168" s="142">
        <f t="shared" ref="H168" si="556">+H167</f>
        <v>45.82</v>
      </c>
      <c r="I168" s="142">
        <f t="shared" ref="I168" si="557">+I167</f>
        <v>80</v>
      </c>
      <c r="J168" s="143">
        <f t="shared" si="484"/>
        <v>1.012499999999994E-2</v>
      </c>
      <c r="K168" s="142">
        <f t="shared" ref="K168:K169" si="558">+K167</f>
        <v>948</v>
      </c>
      <c r="L168" s="128">
        <f t="shared" si="485"/>
        <v>13.275700000000001</v>
      </c>
      <c r="M168" s="144">
        <f t="shared" si="543"/>
        <v>1.32757E-2</v>
      </c>
      <c r="N168" s="144">
        <f t="shared" si="474"/>
        <v>0.12882236265028296</v>
      </c>
      <c r="O168" s="144">
        <f t="shared" si="475"/>
        <v>5.0717465610347627</v>
      </c>
      <c r="P168" s="145">
        <f t="shared" si="476"/>
        <v>6</v>
      </c>
      <c r="Q168" s="113">
        <f>IF(O168&gt;0,VLOOKUP(P168,'$ alcantarillado'!$I$5:$L$22,4,FALSE),"0")</f>
        <v>0.14499999999999999</v>
      </c>
      <c r="R168" s="113">
        <f t="shared" si="477"/>
        <v>1.8199609754532414E-2</v>
      </c>
      <c r="S168" s="146">
        <f t="shared" si="478"/>
        <v>0.72944970683746835</v>
      </c>
      <c r="T168" s="145">
        <f>+IF(S168&gt;$B$13,VLOOKUP(P168,'$ alcantarillado'!$I$6:$N$22,5),P168)</f>
        <v>6</v>
      </c>
      <c r="U168" s="113">
        <f>IF(O168&gt;0,VLOOKUP(T168,'$ alcantarillado'!$I$5:$L$22,4),"0")</f>
        <v>0.14499999999999999</v>
      </c>
      <c r="V168" s="113">
        <f t="shared" si="479"/>
        <v>1.8199609754532414E-2</v>
      </c>
      <c r="W168" s="146">
        <f t="shared" si="480"/>
        <v>0.72944970683746835</v>
      </c>
      <c r="X168" s="146">
        <f t="shared" si="544"/>
        <v>1.1021385416512952</v>
      </c>
      <c r="Y168" s="113">
        <f>IF(T168&gt;0,(VLOOKUP($W168,Relaciones!$A$4:$D$108,2)),"")</f>
        <v>0.95499999999999996</v>
      </c>
      <c r="Z168" s="146">
        <f t="shared" si="545"/>
        <v>1.0525423072769868</v>
      </c>
      <c r="AA168" s="146">
        <f t="shared" si="546"/>
        <v>0.36703124999999781</v>
      </c>
      <c r="AB168" s="147" t="str">
        <f t="shared" si="547"/>
        <v>OK</v>
      </c>
      <c r="AC168" s="147" t="str">
        <f t="shared" si="548"/>
        <v>OK</v>
      </c>
      <c r="AD168" s="147" t="str">
        <f t="shared" si="549"/>
        <v>OK</v>
      </c>
      <c r="AE168" s="148">
        <f t="shared" si="550"/>
        <v>1</v>
      </c>
      <c r="AF168" s="148">
        <f t="shared" si="551"/>
        <v>1</v>
      </c>
      <c r="AG168" s="148">
        <f t="shared" si="552"/>
        <v>1</v>
      </c>
      <c r="AH168" s="148">
        <f t="shared" si="553"/>
        <v>3</v>
      </c>
      <c r="AI168" s="147">
        <f t="shared" si="554"/>
        <v>0.64500000000000002</v>
      </c>
      <c r="AJ168" s="149">
        <f>IF(AI168&gt;0,I168*VLOOKUP(T168,'$ alcantarillado'!$I$6:$K$22,3),0)</f>
        <v>1912173.3333333335</v>
      </c>
      <c r="AK168" s="149">
        <f t="shared" si="481"/>
        <v>3731454.0000000047</v>
      </c>
      <c r="AL168" s="149">
        <f t="shared" si="482"/>
        <v>1636765.4450000019</v>
      </c>
      <c r="AM168" s="149">
        <f t="shared" si="498"/>
        <v>7280392.7783333398</v>
      </c>
      <c r="AN168" s="175">
        <v>0</v>
      </c>
      <c r="AO168" s="150">
        <f t="shared" si="483"/>
        <v>7280392.7783333398</v>
      </c>
      <c r="AP168" s="219"/>
      <c r="AQ168" s="142">
        <v>1</v>
      </c>
      <c r="AR168" s="165">
        <v>4</v>
      </c>
    </row>
    <row r="169" spans="1:44" x14ac:dyDescent="0.25">
      <c r="A169" s="230"/>
      <c r="B169" s="230"/>
      <c r="C169" s="230"/>
      <c r="D169" s="230"/>
      <c r="E169" s="151">
        <v>4</v>
      </c>
      <c r="F169" s="128">
        <f t="shared" si="555"/>
        <v>46.129999999999995</v>
      </c>
      <c r="G169" s="151">
        <v>4</v>
      </c>
      <c r="H169" s="142">
        <f t="shared" ref="H169" si="559">+H168</f>
        <v>45.82</v>
      </c>
      <c r="I169" s="142">
        <f t="shared" ref="I169" si="560">+I168</f>
        <v>80</v>
      </c>
      <c r="J169" s="143">
        <f>+(F169-H169)/I169</f>
        <v>3.8749999999999397E-3</v>
      </c>
      <c r="K169" s="142">
        <f t="shared" si="558"/>
        <v>948</v>
      </c>
      <c r="L169" s="128">
        <f t="shared" si="485"/>
        <v>13.275700000000001</v>
      </c>
      <c r="M169" s="144">
        <f t="shared" si="543"/>
        <v>1.32757E-2</v>
      </c>
      <c r="N169" s="144">
        <f t="shared" si="474"/>
        <v>0.15424172849385967</v>
      </c>
      <c r="O169" s="144">
        <f t="shared" si="475"/>
        <v>6.0725089958212468</v>
      </c>
      <c r="P169" s="145">
        <f t="shared" si="476"/>
        <v>8</v>
      </c>
      <c r="Q169" s="113">
        <f>IF(O169&gt;0,VLOOKUP(P169,'$ alcantarillado'!$I$5:$L$22,4,FALSE),"0")</f>
        <v>0.182</v>
      </c>
      <c r="R169" s="113">
        <f t="shared" si="477"/>
        <v>2.0639988066721529E-2</v>
      </c>
      <c r="S169" s="146">
        <f t="shared" si="478"/>
        <v>0.6432028912557759</v>
      </c>
      <c r="T169" s="145">
        <f>+IF(S169&gt;$B$13,VLOOKUP(P169,'$ alcantarillado'!$I$6:$N$22,5),P169)</f>
        <v>8</v>
      </c>
      <c r="U169" s="113">
        <f>IF(O169&gt;0,VLOOKUP(T169,'$ alcantarillado'!$I$5:$L$22,4),"0")</f>
        <v>0.182</v>
      </c>
      <c r="V169" s="113">
        <f t="shared" si="479"/>
        <v>2.0639988066721529E-2</v>
      </c>
      <c r="W169" s="146">
        <f t="shared" si="480"/>
        <v>0.6432028912557759</v>
      </c>
      <c r="X169" s="146">
        <f t="shared" si="544"/>
        <v>0.79337184547191486</v>
      </c>
      <c r="Y169" s="113">
        <f>IF(T169&gt;0,(VLOOKUP($W169,Relaciones!$A$4:$D$108,2)),"")</f>
        <v>0.91800000000000004</v>
      </c>
      <c r="Z169" s="146">
        <f t="shared" si="545"/>
        <v>0.72831535414321791</v>
      </c>
      <c r="AA169" s="146">
        <f t="shared" si="546"/>
        <v>0.17631249999999726</v>
      </c>
      <c r="AB169" s="147" t="str">
        <f t="shared" si="547"/>
        <v>OK</v>
      </c>
      <c r="AC169" s="147" t="str">
        <f t="shared" si="548"/>
        <v>OK</v>
      </c>
      <c r="AD169" s="147" t="str">
        <f t="shared" si="549"/>
        <v>OK</v>
      </c>
      <c r="AE169" s="148">
        <f t="shared" si="550"/>
        <v>1</v>
      </c>
      <c r="AF169" s="148">
        <f t="shared" si="551"/>
        <v>1</v>
      </c>
      <c r="AG169" s="148">
        <f t="shared" si="552"/>
        <v>1</v>
      </c>
      <c r="AH169" s="148">
        <f t="shared" si="553"/>
        <v>3</v>
      </c>
      <c r="AI169" s="147">
        <f t="shared" si="554"/>
        <v>0.68199999999999994</v>
      </c>
      <c r="AJ169" s="149">
        <f>IF(AI169&gt;0,I169*VLOOKUP(T169,'$ alcantarillado'!$I$6:$K$22,3),0)</f>
        <v>2654586.666666667</v>
      </c>
      <c r="AK169" s="149">
        <f t="shared" si="481"/>
        <v>4491051.8400000036</v>
      </c>
      <c r="AL169" s="149">
        <f t="shared" si="482"/>
        <v>2011581.2420000019</v>
      </c>
      <c r="AM169" s="149">
        <f t="shared" si="498"/>
        <v>9157219.748666672</v>
      </c>
      <c r="AN169" s="175">
        <v>0</v>
      </c>
      <c r="AO169" s="150">
        <f t="shared" si="483"/>
        <v>9157219.748666672</v>
      </c>
      <c r="AP169" s="219"/>
      <c r="AQ169" s="142"/>
      <c r="AR169" s="165"/>
    </row>
    <row r="170" spans="1:44" ht="15.75" thickBot="1" x14ac:dyDescent="0.3">
      <c r="A170" s="230"/>
      <c r="B170" s="230"/>
      <c r="C170" s="230"/>
      <c r="D170" s="230"/>
      <c r="E170" s="152">
        <v>5</v>
      </c>
      <c r="F170" s="153">
        <f t="shared" si="555"/>
        <v>45.629999999999995</v>
      </c>
      <c r="G170" s="152">
        <v>4</v>
      </c>
      <c r="H170" s="154">
        <f>+H169</f>
        <v>45.82</v>
      </c>
      <c r="I170" s="154">
        <f>+I169</f>
        <v>80</v>
      </c>
      <c r="J170" s="155">
        <f t="shared" si="484"/>
        <v>-2.3750000000000602E-3</v>
      </c>
      <c r="K170" s="154">
        <f>+K169</f>
        <v>948</v>
      </c>
      <c r="L170" s="153">
        <f t="shared" si="485"/>
        <v>13.275700000000001</v>
      </c>
      <c r="M170" s="156">
        <f t="shared" si="543"/>
        <v>1.32757E-2</v>
      </c>
      <c r="N170" s="156">
        <f t="shared" si="474"/>
        <v>0</v>
      </c>
      <c r="O170" s="156">
        <f t="shared" si="475"/>
        <v>0</v>
      </c>
      <c r="P170" s="157">
        <f t="shared" si="476"/>
        <v>0</v>
      </c>
      <c r="Q170" s="113" t="str">
        <f>IF(O170&gt;0,VLOOKUP(P170,'$ alcantarillado'!$I$5:$L$22,4,FALSE),"0")</f>
        <v>0</v>
      </c>
      <c r="R170" s="160" t="str">
        <f t="shared" si="477"/>
        <v/>
      </c>
      <c r="S170" s="146">
        <f t="shared" si="478"/>
        <v>0</v>
      </c>
      <c r="T170" s="145">
        <f>+IF(S170&gt;$B$13,VLOOKUP(P170,'$ alcantarillado'!$I$6:$N$22,5),P170)</f>
        <v>0</v>
      </c>
      <c r="U170" s="113" t="str">
        <f>IF(O170&gt;0,VLOOKUP(T170,'$ alcantarillado'!$I$5:$L$22,4),"0")</f>
        <v>0</v>
      </c>
      <c r="V170" s="113" t="str">
        <f t="shared" si="479"/>
        <v/>
      </c>
      <c r="W170" s="146">
        <f t="shared" si="480"/>
        <v>0</v>
      </c>
      <c r="X170" s="146" t="str">
        <f t="shared" si="544"/>
        <v/>
      </c>
      <c r="Y170" s="113" t="str">
        <f>IF(T170&gt;0,(VLOOKUP($W170,Relaciones!$A$4:$D$108,2)),"")</f>
        <v/>
      </c>
      <c r="Z170" s="146" t="str">
        <f t="shared" si="545"/>
        <v/>
      </c>
      <c r="AA170" s="146" t="str">
        <f t="shared" si="546"/>
        <v/>
      </c>
      <c r="AB170" s="147" t="str">
        <f t="shared" si="547"/>
        <v/>
      </c>
      <c r="AC170" s="147" t="str">
        <f t="shared" si="548"/>
        <v/>
      </c>
      <c r="AD170" s="147" t="str">
        <f t="shared" si="549"/>
        <v/>
      </c>
      <c r="AE170" s="148">
        <f t="shared" si="550"/>
        <v>0</v>
      </c>
      <c r="AF170" s="148">
        <f t="shared" si="551"/>
        <v>0</v>
      </c>
      <c r="AG170" s="148">
        <f t="shared" si="552"/>
        <v>0</v>
      </c>
      <c r="AH170" s="148">
        <f t="shared" si="553"/>
        <v>0</v>
      </c>
      <c r="AI170" s="147">
        <f t="shared" si="554"/>
        <v>0</v>
      </c>
      <c r="AJ170" s="158">
        <f>IF(AI170&gt;0,I170*VLOOKUP(T170,'$ alcantarillado'!$I$6:$K$22,3),0)</f>
        <v>0</v>
      </c>
      <c r="AK170" s="149">
        <f t="shared" si="481"/>
        <v>0</v>
      </c>
      <c r="AL170" s="149">
        <f t="shared" si="482"/>
        <v>0</v>
      </c>
      <c r="AM170" s="158">
        <f t="shared" si="498"/>
        <v>0</v>
      </c>
      <c r="AN170" s="175">
        <v>0</v>
      </c>
      <c r="AO170" s="159" t="str">
        <f t="shared" si="483"/>
        <v/>
      </c>
      <c r="AP170" s="220"/>
      <c r="AQ170" s="154"/>
      <c r="AR170" s="166"/>
    </row>
    <row r="171" spans="1:44" x14ac:dyDescent="0.25">
      <c r="A171" s="230"/>
      <c r="B171" s="230"/>
      <c r="C171" s="230"/>
      <c r="D171" s="230"/>
      <c r="E171" s="127">
        <v>1</v>
      </c>
      <c r="F171" s="132">
        <f>+$D$151-$B$5</f>
        <v>47.629999999999995</v>
      </c>
      <c r="G171" s="127">
        <v>5</v>
      </c>
      <c r="H171" s="132">
        <f>+H166-$B$4</f>
        <v>45.32</v>
      </c>
      <c r="I171" s="142">
        <f>+I166</f>
        <v>80</v>
      </c>
      <c r="J171" s="143">
        <f>+(F171-H171)/I171</f>
        <v>2.8874999999999939E-2</v>
      </c>
      <c r="K171" s="142">
        <f>+K166</f>
        <v>948</v>
      </c>
      <c r="L171" s="132">
        <f>IF(K171&lt;38,K171^0.3686*0.7401,IF(K171&lt;235,K171^0.4193*0.6215,IF(K171&lt;932,K171*0.0092+4.2493,K171*0.0069+6.7345)))</f>
        <v>13.275700000000001</v>
      </c>
      <c r="M171" s="133">
        <f>+L171/1000</f>
        <v>1.32757E-2</v>
      </c>
      <c r="N171" s="133">
        <f t="shared" si="474"/>
        <v>0.10584124866876424</v>
      </c>
      <c r="O171" s="133">
        <f t="shared" si="475"/>
        <v>4.166978294045836</v>
      </c>
      <c r="P171" s="134">
        <f t="shared" si="476"/>
        <v>6</v>
      </c>
      <c r="Q171" s="135">
        <f>IF(O171&gt;0,VLOOKUP(P171,'$ alcantarillado'!$I$5:$L$22,4,FALSE),"0")</f>
        <v>0.14499999999999999</v>
      </c>
      <c r="R171" s="135">
        <f t="shared" si="477"/>
        <v>3.0734457819709161E-2</v>
      </c>
      <c r="S171" s="136">
        <f t="shared" si="478"/>
        <v>0.43194840390145611</v>
      </c>
      <c r="T171" s="134">
        <f>+IF(S171&gt;$B$13,VLOOKUP(P171,'$ alcantarillado'!$I$6:$N$22,5),P171)</f>
        <v>6</v>
      </c>
      <c r="U171" s="135">
        <f>IF(O171&gt;0,VLOOKUP(T171,'$ alcantarillado'!$I$5:$L$22,4),"0")</f>
        <v>0.14499999999999999</v>
      </c>
      <c r="V171" s="135">
        <f t="shared" si="479"/>
        <v>3.0734457819709161E-2</v>
      </c>
      <c r="W171" s="136">
        <f t="shared" si="480"/>
        <v>0.43194840390145611</v>
      </c>
      <c r="X171" s="136">
        <f>IF(T171&gt;0,4*V171/(PI()*(U171)^2),"")</f>
        <v>1.8612283986705616</v>
      </c>
      <c r="Y171" s="135">
        <f>IF(T171&gt;0,(VLOOKUP($W171,Relaciones!$A$4:$D$108,2)),"")</f>
        <v>0.81</v>
      </c>
      <c r="Z171" s="136">
        <f>IF(T171&gt;0,Y171*X171,"")</f>
        <v>1.5075950029231551</v>
      </c>
      <c r="AA171" s="136">
        <f>IF(T171&gt;0,250*U171*J171,"")</f>
        <v>1.0467187499999977</v>
      </c>
      <c r="AB171" s="137" t="str">
        <f>IF(T171&gt;0,IF(W171&lt;=$B$13,"OK","No Cumple"),"")</f>
        <v>OK</v>
      </c>
      <c r="AC171" s="137" t="str">
        <f>IF(T171&gt;0,IF(Z171&gt;=$B$12,"OK","No Cumple"),"")</f>
        <v>OK</v>
      </c>
      <c r="AD171" s="137" t="str">
        <f>IF(T171&gt;0,IF(AA171&gt;$B$14,"OK","No Cumple"),"")</f>
        <v>OK</v>
      </c>
      <c r="AE171" s="138">
        <f>+IF(AB171="OK",1,0)</f>
        <v>1</v>
      </c>
      <c r="AF171" s="138">
        <f>+IF(AC171="OK",1,0)</f>
        <v>1</v>
      </c>
      <c r="AG171" s="138">
        <f>+IF(AD171="OK",1,0)</f>
        <v>1</v>
      </c>
      <c r="AH171" s="138">
        <f>SUM(AE171:AG171)</f>
        <v>3</v>
      </c>
      <c r="AI171" s="137">
        <f>IF(AH171=3,2*$B$7+U171,0)</f>
        <v>0.64500000000000002</v>
      </c>
      <c r="AJ171" s="139">
        <f>IF(AI171&gt;0,I171*VLOOKUP(T171,'$ alcantarillado'!$I$6:$K$22,3),0)</f>
        <v>1912173.3333333335</v>
      </c>
      <c r="AK171" s="139">
        <f t="shared" si="481"/>
        <v>3034854.0000000042</v>
      </c>
      <c r="AL171" s="139">
        <f t="shared" si="482"/>
        <v>938784.44500000204</v>
      </c>
      <c r="AM171" s="139">
        <f>IF(AJ171&gt;0,AJ171+AK171+AL171,0)</f>
        <v>5885811.7783333398</v>
      </c>
      <c r="AN171" s="174">
        <v>0</v>
      </c>
      <c r="AO171" s="140">
        <f t="shared" si="483"/>
        <v>5885811.7783333398</v>
      </c>
      <c r="AP171" s="217">
        <f t="shared" ref="AP171" si="561">+MIN(AO171:AO175)</f>
        <v>5885811.7783333398</v>
      </c>
      <c r="AQ171" s="142"/>
      <c r="AR171" s="165"/>
    </row>
    <row r="172" spans="1:44" x14ac:dyDescent="0.25">
      <c r="A172" s="230"/>
      <c r="B172" s="230"/>
      <c r="C172" s="230"/>
      <c r="D172" s="230"/>
      <c r="E172" s="141">
        <v>2</v>
      </c>
      <c r="F172" s="128">
        <f>+F171-$B$4</f>
        <v>47.129999999999995</v>
      </c>
      <c r="G172" s="141">
        <v>5</v>
      </c>
      <c r="H172" s="128">
        <f>+H171</f>
        <v>45.32</v>
      </c>
      <c r="I172" s="142">
        <f>+I171</f>
        <v>80</v>
      </c>
      <c r="J172" s="143">
        <f t="shared" si="484"/>
        <v>2.262499999999994E-2</v>
      </c>
      <c r="K172" s="142">
        <f>+K171</f>
        <v>948</v>
      </c>
      <c r="L172" s="128">
        <f t="shared" si="485"/>
        <v>13.275700000000001</v>
      </c>
      <c r="M172" s="144">
        <f t="shared" ref="M172:M175" si="562">+L172/1000</f>
        <v>1.32757E-2</v>
      </c>
      <c r="N172" s="144">
        <f t="shared" si="474"/>
        <v>0.11079431283583996</v>
      </c>
      <c r="O172" s="144">
        <f t="shared" si="475"/>
        <v>4.3619808203086601</v>
      </c>
      <c r="P172" s="145">
        <f t="shared" si="476"/>
        <v>6</v>
      </c>
      <c r="Q172" s="113">
        <f>IF(O172&gt;0,VLOOKUP(P172,'$ alcantarillado'!$I$5:$L$22,4,FALSE),"0")</f>
        <v>0.14499999999999999</v>
      </c>
      <c r="R172" s="113">
        <f t="shared" si="477"/>
        <v>2.7205634160103888E-2</v>
      </c>
      <c r="S172" s="146">
        <f t="shared" si="478"/>
        <v>0.48797612736660079</v>
      </c>
      <c r="T172" s="145">
        <f>+IF(S172&gt;$B$13,VLOOKUP(P172,'$ alcantarillado'!$I$6:$N$22,5),P172)</f>
        <v>6</v>
      </c>
      <c r="U172" s="113">
        <f>IF(O172&gt;0,VLOOKUP(T172,'$ alcantarillado'!$I$5:$L$22,4),"0")</f>
        <v>0.14499999999999999</v>
      </c>
      <c r="V172" s="113">
        <f t="shared" si="479"/>
        <v>2.7205634160103888E-2</v>
      </c>
      <c r="W172" s="146">
        <f t="shared" si="480"/>
        <v>0.48797612736660079</v>
      </c>
      <c r="X172" s="146">
        <f t="shared" ref="X172:X175" si="563">IF(T172&gt;0,4*V172/(PI()*(U172)^2),"")</f>
        <v>1.6475286207962934</v>
      </c>
      <c r="Y172" s="113">
        <f>IF(T172&gt;0,(VLOOKUP($W172,Relaciones!$A$4:$D$108,2)),"")</f>
        <v>0.84</v>
      </c>
      <c r="Z172" s="146">
        <f t="shared" ref="Z172:Z175" si="564">IF(T172&gt;0,Y172*X172,"")</f>
        <v>1.3839240414688865</v>
      </c>
      <c r="AA172" s="146">
        <f t="shared" ref="AA172:AA175" si="565">IF(T172&gt;0,250*U172*J172,"")</f>
        <v>0.82015624999999781</v>
      </c>
      <c r="AB172" s="147" t="str">
        <f t="shared" ref="AB172:AB175" si="566">IF(T172&gt;0,IF(W172&lt;=$B$13,"OK","No Cumple"),"")</f>
        <v>OK</v>
      </c>
      <c r="AC172" s="147" t="str">
        <f t="shared" ref="AC172:AC175" si="567">IF(T172&gt;0,IF(Z172&gt;=$B$12,"OK","No Cumple"),"")</f>
        <v>OK</v>
      </c>
      <c r="AD172" s="147" t="str">
        <f t="shared" ref="AD172:AD175" si="568">IF(T172&gt;0,IF(AA172&gt;$B$14,"OK","No Cumple"),"")</f>
        <v>OK</v>
      </c>
      <c r="AE172" s="148">
        <f t="shared" ref="AE172:AE175" si="569">+IF(AB172="OK",1,0)</f>
        <v>1</v>
      </c>
      <c r="AF172" s="148">
        <f t="shared" ref="AF172:AF175" si="570">+IF(AC172="OK",1,0)</f>
        <v>1</v>
      </c>
      <c r="AG172" s="148">
        <f t="shared" ref="AG172:AG175" si="571">+IF(AD172="OK",1,0)</f>
        <v>1</v>
      </c>
      <c r="AH172" s="148">
        <f t="shared" ref="AH172:AH175" si="572">SUM(AE172:AG172)</f>
        <v>3</v>
      </c>
      <c r="AI172" s="147">
        <f t="shared" ref="AI172:AI175" si="573">IF(AH172=3,2*$B$7+U172,0)</f>
        <v>0.64500000000000002</v>
      </c>
      <c r="AJ172" s="149">
        <f>IF(AI172&gt;0,I172*VLOOKUP(T172,'$ alcantarillado'!$I$6:$K$22,3),0)</f>
        <v>1912173.3333333335</v>
      </c>
      <c r="AK172" s="149">
        <f t="shared" si="481"/>
        <v>3499254.0000000047</v>
      </c>
      <c r="AL172" s="149">
        <f t="shared" si="482"/>
        <v>1287774.9450000019</v>
      </c>
      <c r="AM172" s="149">
        <f t="shared" si="498"/>
        <v>6699202.2783333398</v>
      </c>
      <c r="AN172" s="175">
        <v>0</v>
      </c>
      <c r="AO172" s="150">
        <f t="shared" si="483"/>
        <v>6699202.2783333398</v>
      </c>
      <c r="AP172" s="218"/>
      <c r="AQ172" s="142"/>
      <c r="AR172" s="165"/>
    </row>
    <row r="173" spans="1:44" x14ac:dyDescent="0.25">
      <c r="A173" s="230"/>
      <c r="B173" s="230"/>
      <c r="C173" s="230"/>
      <c r="D173" s="230"/>
      <c r="E173" s="151">
        <v>3</v>
      </c>
      <c r="F173" s="128">
        <f t="shared" ref="F173:F175" si="574">+F172-$B$4</f>
        <v>46.629999999999995</v>
      </c>
      <c r="G173" s="151">
        <v>5</v>
      </c>
      <c r="H173" s="128">
        <f t="shared" ref="H173" si="575">+H172</f>
        <v>45.32</v>
      </c>
      <c r="I173" s="142">
        <f t="shared" ref="I173" si="576">+I172</f>
        <v>80</v>
      </c>
      <c r="J173" s="143">
        <f t="shared" si="484"/>
        <v>1.6374999999999938E-2</v>
      </c>
      <c r="K173" s="142">
        <f t="shared" ref="K173:K174" si="577">+K172</f>
        <v>948</v>
      </c>
      <c r="L173" s="128">
        <f t="shared" si="485"/>
        <v>13.275700000000001</v>
      </c>
      <c r="M173" s="144">
        <f t="shared" si="562"/>
        <v>1.32757E-2</v>
      </c>
      <c r="N173" s="144">
        <f t="shared" si="474"/>
        <v>0.11771825972235324</v>
      </c>
      <c r="O173" s="144">
        <f t="shared" si="475"/>
        <v>4.634577154423356</v>
      </c>
      <c r="P173" s="145">
        <f t="shared" si="476"/>
        <v>6</v>
      </c>
      <c r="Q173" s="113">
        <f>IF(O173&gt;0,VLOOKUP(P173,'$ alcantarillado'!$I$5:$L$22,4,FALSE),"0")</f>
        <v>0.14499999999999999</v>
      </c>
      <c r="R173" s="113">
        <f t="shared" si="477"/>
        <v>2.314489495839939E-2</v>
      </c>
      <c r="S173" s="146">
        <f t="shared" si="478"/>
        <v>0.57359085119469022</v>
      </c>
      <c r="T173" s="145">
        <f>+IF(S173&gt;$B$13,VLOOKUP(P173,'$ alcantarillado'!$I$6:$N$22,5),P173)</f>
        <v>6</v>
      </c>
      <c r="U173" s="113">
        <f>IF(O173&gt;0,VLOOKUP(T173,'$ alcantarillado'!$I$5:$L$22,4),"0")</f>
        <v>0.14499999999999999</v>
      </c>
      <c r="V173" s="113">
        <f t="shared" si="479"/>
        <v>2.314489495839939E-2</v>
      </c>
      <c r="W173" s="146">
        <f t="shared" si="480"/>
        <v>0.57359085119469022</v>
      </c>
      <c r="X173" s="146">
        <f t="shared" si="563"/>
        <v>1.4016169093829063</v>
      </c>
      <c r="Y173" s="113">
        <f>IF(T173&gt;0,(VLOOKUP($W173,Relaciones!$A$4:$D$108,2)),"")</f>
        <v>0.88500000000000001</v>
      </c>
      <c r="Z173" s="146">
        <f t="shared" si="564"/>
        <v>1.240430964803872</v>
      </c>
      <c r="AA173" s="146">
        <f t="shared" si="565"/>
        <v>0.59359374999999781</v>
      </c>
      <c r="AB173" s="147" t="str">
        <f t="shared" si="566"/>
        <v>OK</v>
      </c>
      <c r="AC173" s="147" t="str">
        <f t="shared" si="567"/>
        <v>OK</v>
      </c>
      <c r="AD173" s="147" t="str">
        <f t="shared" si="568"/>
        <v>OK</v>
      </c>
      <c r="AE173" s="148">
        <f t="shared" si="569"/>
        <v>1</v>
      </c>
      <c r="AF173" s="148">
        <f t="shared" si="570"/>
        <v>1</v>
      </c>
      <c r="AG173" s="148">
        <f t="shared" si="571"/>
        <v>1</v>
      </c>
      <c r="AH173" s="148">
        <f t="shared" si="572"/>
        <v>3</v>
      </c>
      <c r="AI173" s="147">
        <f t="shared" si="573"/>
        <v>0.64500000000000002</v>
      </c>
      <c r="AJ173" s="149">
        <f>IF(AI173&gt;0,I173*VLOOKUP(T173,'$ alcantarillado'!$I$6:$K$22,3),0)</f>
        <v>1912173.3333333335</v>
      </c>
      <c r="AK173" s="149">
        <f t="shared" si="481"/>
        <v>3963654.0000000042</v>
      </c>
      <c r="AL173" s="149">
        <f t="shared" si="482"/>
        <v>1636765.4450000019</v>
      </c>
      <c r="AM173" s="149">
        <f t="shared" si="498"/>
        <v>7512592.7783333398</v>
      </c>
      <c r="AN173" s="175">
        <v>0</v>
      </c>
      <c r="AO173" s="150">
        <f t="shared" si="483"/>
        <v>7512592.7783333398</v>
      </c>
      <c r="AP173" s="219"/>
      <c r="AQ173" s="142">
        <v>1</v>
      </c>
      <c r="AR173" s="165">
        <v>5</v>
      </c>
    </row>
    <row r="174" spans="1:44" x14ac:dyDescent="0.25">
      <c r="A174" s="230"/>
      <c r="B174" s="230"/>
      <c r="C174" s="230"/>
      <c r="D174" s="230"/>
      <c r="E174" s="151">
        <v>4</v>
      </c>
      <c r="F174" s="128">
        <f t="shared" si="574"/>
        <v>46.129999999999995</v>
      </c>
      <c r="G174" s="151">
        <v>5</v>
      </c>
      <c r="H174" s="128">
        <f t="shared" ref="H174" si="578">+H173</f>
        <v>45.32</v>
      </c>
      <c r="I174" s="142">
        <f t="shared" ref="I174" si="579">+I173</f>
        <v>80</v>
      </c>
      <c r="J174" s="143">
        <f>+(F174-H174)/I174</f>
        <v>1.012499999999994E-2</v>
      </c>
      <c r="K174" s="142">
        <f t="shared" si="577"/>
        <v>948</v>
      </c>
      <c r="L174" s="128">
        <f t="shared" si="485"/>
        <v>13.275700000000001</v>
      </c>
      <c r="M174" s="144">
        <f t="shared" si="562"/>
        <v>1.32757E-2</v>
      </c>
      <c r="N174" s="144">
        <f t="shared" si="474"/>
        <v>0.12882236265028296</v>
      </c>
      <c r="O174" s="144">
        <f t="shared" si="475"/>
        <v>5.0717465610347627</v>
      </c>
      <c r="P174" s="145">
        <f t="shared" si="476"/>
        <v>6</v>
      </c>
      <c r="Q174" s="113">
        <f>IF(O174&gt;0,VLOOKUP(P174,'$ alcantarillado'!$I$5:$L$22,4,FALSE),"0")</f>
        <v>0.14499999999999999</v>
      </c>
      <c r="R174" s="113">
        <f t="shared" si="477"/>
        <v>1.8199609754532414E-2</v>
      </c>
      <c r="S174" s="146">
        <f t="shared" si="478"/>
        <v>0.72944970683746835</v>
      </c>
      <c r="T174" s="145">
        <f>+IF(S174&gt;$B$13,VLOOKUP(P174,'$ alcantarillado'!$I$6:$N$22,5),P174)</f>
        <v>6</v>
      </c>
      <c r="U174" s="113">
        <f>IF(O174&gt;0,VLOOKUP(T174,'$ alcantarillado'!$I$5:$L$22,4),"0")</f>
        <v>0.14499999999999999</v>
      </c>
      <c r="V174" s="113">
        <f t="shared" si="479"/>
        <v>1.8199609754532414E-2</v>
      </c>
      <c r="W174" s="146">
        <f t="shared" si="480"/>
        <v>0.72944970683746835</v>
      </c>
      <c r="X174" s="146">
        <f t="shared" si="563"/>
        <v>1.1021385416512952</v>
      </c>
      <c r="Y174" s="113">
        <f>IF(T174&gt;0,(VLOOKUP($W174,Relaciones!$A$4:$D$108,2)),"")</f>
        <v>0.95499999999999996</v>
      </c>
      <c r="Z174" s="146">
        <f t="shared" si="564"/>
        <v>1.0525423072769868</v>
      </c>
      <c r="AA174" s="146">
        <f t="shared" si="565"/>
        <v>0.36703124999999781</v>
      </c>
      <c r="AB174" s="147" t="str">
        <f t="shared" si="566"/>
        <v>OK</v>
      </c>
      <c r="AC174" s="147" t="str">
        <f t="shared" si="567"/>
        <v>OK</v>
      </c>
      <c r="AD174" s="147" t="str">
        <f t="shared" si="568"/>
        <v>OK</v>
      </c>
      <c r="AE174" s="148">
        <f t="shared" si="569"/>
        <v>1</v>
      </c>
      <c r="AF174" s="148">
        <f t="shared" si="570"/>
        <v>1</v>
      </c>
      <c r="AG174" s="148">
        <f t="shared" si="571"/>
        <v>1</v>
      </c>
      <c r="AH174" s="148">
        <f t="shared" si="572"/>
        <v>3</v>
      </c>
      <c r="AI174" s="147">
        <f t="shared" si="573"/>
        <v>0.64500000000000002</v>
      </c>
      <c r="AJ174" s="149">
        <f>IF(AI174&gt;0,I174*VLOOKUP(T174,'$ alcantarillado'!$I$6:$K$22,3),0)</f>
        <v>1912173.3333333335</v>
      </c>
      <c r="AK174" s="149">
        <f t="shared" si="481"/>
        <v>4428054.0000000047</v>
      </c>
      <c r="AL174" s="149">
        <f t="shared" si="482"/>
        <v>1985755.9450000019</v>
      </c>
      <c r="AM174" s="149">
        <f t="shared" si="498"/>
        <v>8325983.2783333398</v>
      </c>
      <c r="AN174" s="175">
        <v>0</v>
      </c>
      <c r="AO174" s="150">
        <f t="shared" si="483"/>
        <v>8325983.2783333398</v>
      </c>
      <c r="AP174" s="219"/>
      <c r="AQ174" s="142"/>
      <c r="AR174" s="165"/>
    </row>
    <row r="175" spans="1:44" ht="15.75" thickBot="1" x14ac:dyDescent="0.3">
      <c r="A175" s="231"/>
      <c r="B175" s="231"/>
      <c r="C175" s="231"/>
      <c r="D175" s="231"/>
      <c r="E175" s="152">
        <v>5</v>
      </c>
      <c r="F175" s="153">
        <f t="shared" si="574"/>
        <v>45.629999999999995</v>
      </c>
      <c r="G175" s="152">
        <v>5</v>
      </c>
      <c r="H175" s="153">
        <f>+H174</f>
        <v>45.32</v>
      </c>
      <c r="I175" s="154">
        <f>+I174</f>
        <v>80</v>
      </c>
      <c r="J175" s="155">
        <f t="shared" si="484"/>
        <v>3.8749999999999397E-3</v>
      </c>
      <c r="K175" s="154">
        <f>+K174</f>
        <v>948</v>
      </c>
      <c r="L175" s="153">
        <f t="shared" si="485"/>
        <v>13.275700000000001</v>
      </c>
      <c r="M175" s="156">
        <f t="shared" si="562"/>
        <v>1.32757E-2</v>
      </c>
      <c r="N175" s="156">
        <f t="shared" si="474"/>
        <v>0.15424172849385967</v>
      </c>
      <c r="O175" s="156">
        <f t="shared" si="475"/>
        <v>6.0725089958212468</v>
      </c>
      <c r="P175" s="157">
        <f t="shared" si="476"/>
        <v>8</v>
      </c>
      <c r="Q175" s="113">
        <f>IF(O175&gt;0,VLOOKUP(P175,'$ alcantarillado'!$I$5:$L$22,4,FALSE),"0")</f>
        <v>0.182</v>
      </c>
      <c r="R175" s="160">
        <f t="shared" si="477"/>
        <v>2.0639988066721529E-2</v>
      </c>
      <c r="S175" s="146">
        <f t="shared" si="478"/>
        <v>0.6432028912557759</v>
      </c>
      <c r="T175" s="145">
        <f>+IF(S175&gt;$B$13,VLOOKUP(P175,'$ alcantarillado'!$I$6:$N$22,5),P175)</f>
        <v>8</v>
      </c>
      <c r="U175" s="113">
        <f>IF(O175&gt;0,VLOOKUP(T175,'$ alcantarillado'!$I$5:$L$22,4),"0")</f>
        <v>0.182</v>
      </c>
      <c r="V175" s="113">
        <f t="shared" si="479"/>
        <v>2.0639988066721529E-2</v>
      </c>
      <c r="W175" s="146">
        <f t="shared" si="480"/>
        <v>0.6432028912557759</v>
      </c>
      <c r="X175" s="146">
        <f t="shared" si="563"/>
        <v>0.79337184547191486</v>
      </c>
      <c r="Y175" s="113">
        <f>IF(T175&gt;0,(VLOOKUP($W175,Relaciones!$A$4:$D$108,2)),"")</f>
        <v>0.91800000000000004</v>
      </c>
      <c r="Z175" s="146">
        <f t="shared" si="564"/>
        <v>0.72831535414321791</v>
      </c>
      <c r="AA175" s="146">
        <f t="shared" si="565"/>
        <v>0.17631249999999726</v>
      </c>
      <c r="AB175" s="147" t="str">
        <f t="shared" si="566"/>
        <v>OK</v>
      </c>
      <c r="AC175" s="147" t="str">
        <f t="shared" si="567"/>
        <v>OK</v>
      </c>
      <c r="AD175" s="147" t="str">
        <f t="shared" si="568"/>
        <v>OK</v>
      </c>
      <c r="AE175" s="148">
        <f t="shared" si="569"/>
        <v>1</v>
      </c>
      <c r="AF175" s="148">
        <f t="shared" si="570"/>
        <v>1</v>
      </c>
      <c r="AG175" s="148">
        <f t="shared" si="571"/>
        <v>1</v>
      </c>
      <c r="AH175" s="148">
        <f t="shared" si="572"/>
        <v>3</v>
      </c>
      <c r="AI175" s="147">
        <f t="shared" si="573"/>
        <v>0.68199999999999994</v>
      </c>
      <c r="AJ175" s="158">
        <f>IF(AI175&gt;0,I175*VLOOKUP(T175,'$ alcantarillado'!$I$6:$K$22,3),0)</f>
        <v>2654586.666666667</v>
      </c>
      <c r="AK175" s="149">
        <f t="shared" si="481"/>
        <v>5227611.8400000036</v>
      </c>
      <c r="AL175" s="149">
        <f t="shared" si="482"/>
        <v>2360571.7420000019</v>
      </c>
      <c r="AM175" s="158">
        <f t="shared" si="498"/>
        <v>10242770.248666672</v>
      </c>
      <c r="AN175" s="175">
        <v>0</v>
      </c>
      <c r="AO175" s="159">
        <f t="shared" si="483"/>
        <v>10242770.248666672</v>
      </c>
      <c r="AP175" s="220"/>
      <c r="AQ175" s="142"/>
      <c r="AR175" s="165"/>
    </row>
    <row r="176" spans="1:44" x14ac:dyDescent="0.25">
      <c r="A176" s="210">
        <v>7</v>
      </c>
      <c r="B176" s="210">
        <v>4</v>
      </c>
      <c r="C176" s="210">
        <v>5</v>
      </c>
      <c r="D176" s="210">
        <v>49.02</v>
      </c>
      <c r="E176" s="4">
        <v>1</v>
      </c>
      <c r="F176" s="7">
        <f>+H151</f>
        <v>47.32</v>
      </c>
      <c r="G176" s="4">
        <v>1</v>
      </c>
      <c r="H176" s="54">
        <f>+$D$201-$B$5-$B$4</f>
        <v>47.39</v>
      </c>
      <c r="I176" s="7">
        <v>80</v>
      </c>
      <c r="J176" s="17">
        <f>+(F176-H176)/I176</f>
        <v>-8.750000000000036E-4</v>
      </c>
      <c r="K176" s="32">
        <f>+K151</f>
        <v>948</v>
      </c>
      <c r="L176" s="14">
        <f>IF(K176&lt;38,K176^0.3686*0.7401,IF(K176&lt;235,K176^0.4193*0.6215,IF(K176&lt;932,K176*0.0092+4.2493,K176*0.0069+6.7345)))</f>
        <v>13.275700000000001</v>
      </c>
      <c r="M176" s="31">
        <f>+L176/1000</f>
        <v>1.32757E-2</v>
      </c>
      <c r="N176" s="31">
        <f t="shared" si="474"/>
        <v>0</v>
      </c>
      <c r="O176" s="31">
        <f t="shared" si="475"/>
        <v>0</v>
      </c>
      <c r="P176" s="57">
        <f t="shared" si="476"/>
        <v>0</v>
      </c>
      <c r="Q176" s="60" t="str">
        <f>IF(O176&gt;0,VLOOKUP(P176,'$ alcantarillado'!$I$5:$L$22,4,FALSE),"0")</f>
        <v>0</v>
      </c>
      <c r="R176" s="60" t="str">
        <f t="shared" si="477"/>
        <v/>
      </c>
      <c r="S176" s="27">
        <f t="shared" si="478"/>
        <v>0</v>
      </c>
      <c r="T176" s="57">
        <f>+IF(S176&gt;$B$13,VLOOKUP(P176,'$ alcantarillado'!$I$6:$N$22,5),P176)</f>
        <v>0</v>
      </c>
      <c r="U176" s="60" t="str">
        <f>IF(O176&gt;0,VLOOKUP(T176,'$ alcantarillado'!$I$5:$L$22,4),"0")</f>
        <v>0</v>
      </c>
      <c r="V176" s="60" t="str">
        <f t="shared" si="479"/>
        <v/>
      </c>
      <c r="W176" s="27">
        <f t="shared" si="480"/>
        <v>0</v>
      </c>
      <c r="X176" s="27" t="str">
        <f>IF(T176&gt;0,4*V176/(PI()*(U176)^2),"")</f>
        <v/>
      </c>
      <c r="Y176" s="60" t="str">
        <f>IF(T176&gt;0,(VLOOKUP($W176,Relaciones!$A$4:$D$108,2)),"")</f>
        <v/>
      </c>
      <c r="Z176" s="27" t="str">
        <f>IF(T176&gt;0,Y176*X176,"")</f>
        <v/>
      </c>
      <c r="AA176" s="27" t="str">
        <f>IF(T176&gt;0,250*U176*J176,"")</f>
        <v/>
      </c>
      <c r="AB176" s="45" t="str">
        <f>IF(T176&gt;0,IF(W176&lt;=$B$13,"OK","No Cumple"),"")</f>
        <v/>
      </c>
      <c r="AC176" s="45" t="str">
        <f>IF(T176&gt;0,IF(Z176&gt;=$B$12,"OK","No Cumple"),"")</f>
        <v/>
      </c>
      <c r="AD176" s="45" t="str">
        <f>IF(T176&gt;0,IF(AA176&gt;$B$14,"OK","No Cumple"),"")</f>
        <v/>
      </c>
      <c r="AE176" s="32">
        <f>+IF(AB176="OK",1,0)</f>
        <v>0</v>
      </c>
      <c r="AF176" s="32">
        <f>+IF(AC176="OK",1,0)</f>
        <v>0</v>
      </c>
      <c r="AG176" s="32">
        <f>+IF(AD176="OK",1,0)</f>
        <v>0</v>
      </c>
      <c r="AH176" s="32">
        <f>SUM(AE176:AG176)</f>
        <v>0</v>
      </c>
      <c r="AI176" s="45">
        <f>IF(AH176=3,2*$B$7+U176,0)</f>
        <v>0</v>
      </c>
      <c r="AJ176" s="21">
        <f>IF(AI176&gt;0,I176*VLOOKUP(T176,'$ alcantarillado'!$I$6:$K$22,3),0)</f>
        <v>0</v>
      </c>
      <c r="AK176" s="61">
        <f t="shared" ref="AK176:AK200" si="580">IF(N176&gt;0,((($D$176-F176)+(U176))+(($D$201-H176)+(U176))/2)*AI176*I176*$C$9,0)</f>
        <v>0</v>
      </c>
      <c r="AL176" s="61">
        <f t="shared" ref="AL176:AL200" si="581">IF(AI176&gt;0,(($D$176-F176)+U176)*$C$10,0)</f>
        <v>0</v>
      </c>
      <c r="AM176" s="21">
        <f>IF(AJ176&gt;0,AJ176+AK176+AL176,0)</f>
        <v>0</v>
      </c>
      <c r="AN176" s="81">
        <f>IF(AP151&gt;0,+AP151,0)</f>
        <v>5900568.248666672</v>
      </c>
      <c r="AO176" s="77" t="str">
        <f>IF((AM176)&gt;0,IF(AN176&gt;0,AM176+AN176,""),"")</f>
        <v/>
      </c>
      <c r="AP176" s="213">
        <f>+MIN(AO176:AO180)</f>
        <v>0</v>
      </c>
      <c r="AQ176" s="7"/>
      <c r="AR176" s="8"/>
    </row>
    <row r="177" spans="1:44" x14ac:dyDescent="0.25">
      <c r="A177" s="211"/>
      <c r="B177" s="211"/>
      <c r="C177" s="211"/>
      <c r="D177" s="211"/>
      <c r="E177" s="5">
        <v>2</v>
      </c>
      <c r="F177" s="2">
        <f>+H156</f>
        <v>46.82</v>
      </c>
      <c r="G177" s="5">
        <v>1</v>
      </c>
      <c r="H177" s="2">
        <f>+H176</f>
        <v>47.39</v>
      </c>
      <c r="I177" s="2">
        <f>+I176</f>
        <v>80</v>
      </c>
      <c r="J177" s="18">
        <f t="shared" ref="J177:J200" si="582">+(F177-H177)/I177</f>
        <v>-7.1250000000000037E-3</v>
      </c>
      <c r="K177" s="2">
        <f>+K176</f>
        <v>948</v>
      </c>
      <c r="L177" s="15">
        <f t="shared" ref="L177:L200" si="583">IF(K177&lt;38,K177^0.3686*0.7401,IF(K177&lt;235,K177^0.4193*0.6215,IF(K177&lt;932,K177*0.0092+4.2493,K177*0.0069+6.7345)))</f>
        <v>13.275700000000001</v>
      </c>
      <c r="M177" s="33">
        <f t="shared" ref="M177:M180" si="584">+L177/1000</f>
        <v>1.32757E-2</v>
      </c>
      <c r="N177" s="33">
        <f t="shared" si="474"/>
        <v>0</v>
      </c>
      <c r="O177" s="33">
        <f t="shared" si="475"/>
        <v>0</v>
      </c>
      <c r="P177" s="58">
        <f t="shared" si="476"/>
        <v>0</v>
      </c>
      <c r="Q177" s="55" t="str">
        <f>IF(O177&gt;0,VLOOKUP(P177,'$ alcantarillado'!$I$5:$L$22,4,FALSE),"0")</f>
        <v>0</v>
      </c>
      <c r="R177" s="55" t="str">
        <f t="shared" si="477"/>
        <v/>
      </c>
      <c r="S177" s="35">
        <f t="shared" si="478"/>
        <v>0</v>
      </c>
      <c r="T177" s="58">
        <f>+IF(S177&gt;$B$13,VLOOKUP(P177,'$ alcantarillado'!$I$6:$N$22,5),P177)</f>
        <v>0</v>
      </c>
      <c r="U177" s="55" t="str">
        <f>IF(O177&gt;0,VLOOKUP(T177,'$ alcantarillado'!$I$5:$L$22,4),"0")</f>
        <v>0</v>
      </c>
      <c r="V177" s="55" t="str">
        <f t="shared" si="479"/>
        <v/>
      </c>
      <c r="W177" s="35">
        <f t="shared" si="480"/>
        <v>0</v>
      </c>
      <c r="X177" s="35" t="str">
        <f t="shared" ref="X177:X180" si="585">IF(T177&gt;0,4*V177/(PI()*(U177)^2),"")</f>
        <v/>
      </c>
      <c r="Y177" s="55" t="str">
        <f>IF(T177&gt;0,(VLOOKUP($W177,Relaciones!$A$4:$D$108,2)),"")</f>
        <v/>
      </c>
      <c r="Z177" s="35" t="str">
        <f t="shared" ref="Z177:Z180" si="586">IF(T177&gt;0,Y177*X177,"")</f>
        <v/>
      </c>
      <c r="AA177" s="35" t="str">
        <f t="shared" ref="AA177:AA180" si="587">IF(T177&gt;0,250*U177*J177,"")</f>
        <v/>
      </c>
      <c r="AB177" s="46" t="str">
        <f t="shared" ref="AB177:AB180" si="588">IF(T177&gt;0,IF(W177&lt;=$B$13,"OK","No Cumple"),"")</f>
        <v/>
      </c>
      <c r="AC177" s="46" t="str">
        <f t="shared" ref="AC177:AC180" si="589">IF(T177&gt;0,IF(Z177&gt;=$B$12,"OK","No Cumple"),"")</f>
        <v/>
      </c>
      <c r="AD177" s="46" t="str">
        <f t="shared" ref="AD177:AD180" si="590">IF(T177&gt;0,IF(AA177&gt;$B$14,"OK","No Cumple"),"")</f>
        <v/>
      </c>
      <c r="AE177" s="48">
        <f t="shared" ref="AE177:AE180" si="591">+IF(AB177="OK",1,0)</f>
        <v>0</v>
      </c>
      <c r="AF177" s="48">
        <f t="shared" ref="AF177:AF180" si="592">+IF(AC177="OK",1,0)</f>
        <v>0</v>
      </c>
      <c r="AG177" s="48">
        <f t="shared" ref="AG177:AG180" si="593">+IF(AD177="OK",1,0)</f>
        <v>0</v>
      </c>
      <c r="AH177" s="48">
        <f t="shared" ref="AH177:AH180" si="594">SUM(AE177:AG177)</f>
        <v>0</v>
      </c>
      <c r="AI177" s="46">
        <f t="shared" ref="AI177:AI180" si="595">IF(AH177=3,2*$B$7+U177,0)</f>
        <v>0</v>
      </c>
      <c r="AJ177" s="20">
        <f>IF(AI177&gt;0,I177*VLOOKUP(T177,'$ alcantarillado'!$I$6:$K$22,3),0)</f>
        <v>0</v>
      </c>
      <c r="AK177" s="20">
        <f t="shared" si="580"/>
        <v>0</v>
      </c>
      <c r="AL177" s="20">
        <f t="shared" si="581"/>
        <v>0</v>
      </c>
      <c r="AM177" s="20">
        <f t="shared" ref="AM177:AM200" si="596">IF(AJ177&gt;0,AJ177+AK177+AL177,0)</f>
        <v>0</v>
      </c>
      <c r="AN177" s="80">
        <f>+AP156</f>
        <v>5189211.7783333398</v>
      </c>
      <c r="AO177" s="78" t="str">
        <f t="shared" ref="AO177:AO180" si="597">IF((AM177)&gt;0,IF(AN177&gt;0,AM177+AN177,""),"")</f>
        <v/>
      </c>
      <c r="AP177" s="214"/>
      <c r="AQ177" s="2"/>
      <c r="AR177" s="9"/>
    </row>
    <row r="178" spans="1:44" x14ac:dyDescent="0.25">
      <c r="A178" s="211"/>
      <c r="B178" s="211"/>
      <c r="C178" s="211"/>
      <c r="D178" s="211"/>
      <c r="E178" s="56">
        <v>3</v>
      </c>
      <c r="F178" s="2">
        <f>+H161</f>
        <v>46.32</v>
      </c>
      <c r="G178" s="56">
        <v>1</v>
      </c>
      <c r="H178" s="2">
        <f t="shared" ref="H178:H179" si="598">+H177</f>
        <v>47.39</v>
      </c>
      <c r="I178" s="2">
        <f t="shared" ref="I178" si="599">+I177</f>
        <v>80</v>
      </c>
      <c r="J178" s="18">
        <f t="shared" si="582"/>
        <v>-1.3375000000000003E-2</v>
      </c>
      <c r="K178" s="2">
        <f t="shared" ref="K178" si="600">+K177</f>
        <v>948</v>
      </c>
      <c r="L178" s="15">
        <f t="shared" si="583"/>
        <v>13.275700000000001</v>
      </c>
      <c r="M178" s="33">
        <f t="shared" si="584"/>
        <v>1.32757E-2</v>
      </c>
      <c r="N178" s="33">
        <f t="shared" si="474"/>
        <v>0</v>
      </c>
      <c r="O178" s="33">
        <f t="shared" si="475"/>
        <v>0</v>
      </c>
      <c r="P178" s="58">
        <f t="shared" si="476"/>
        <v>0</v>
      </c>
      <c r="Q178" s="55" t="str">
        <f>IF(O178&gt;0,VLOOKUP(P178,'$ alcantarillado'!$I$5:$L$22,4,FALSE),"0")</f>
        <v>0</v>
      </c>
      <c r="R178" s="55" t="str">
        <f t="shared" si="477"/>
        <v/>
      </c>
      <c r="S178" s="35">
        <f t="shared" si="478"/>
        <v>0</v>
      </c>
      <c r="T178" s="58">
        <f>+IF(S178&gt;$B$13,VLOOKUP(P178,'$ alcantarillado'!$I$6:$N$22,5),P178)</f>
        <v>0</v>
      </c>
      <c r="U178" s="55" t="str">
        <f>IF(O178&gt;0,VLOOKUP(T178,'$ alcantarillado'!$I$5:$L$22,4),"0")</f>
        <v>0</v>
      </c>
      <c r="V178" s="55" t="str">
        <f t="shared" si="479"/>
        <v/>
      </c>
      <c r="W178" s="35">
        <f t="shared" si="480"/>
        <v>0</v>
      </c>
      <c r="X178" s="35" t="str">
        <f t="shared" si="585"/>
        <v/>
      </c>
      <c r="Y178" s="55" t="str">
        <f>IF(T178&gt;0,(VLOOKUP($W178,Relaciones!$A$4:$D$108,2)),"")</f>
        <v/>
      </c>
      <c r="Z178" s="35" t="str">
        <f t="shared" si="586"/>
        <v/>
      </c>
      <c r="AA178" s="35" t="str">
        <f t="shared" si="587"/>
        <v/>
      </c>
      <c r="AB178" s="46" t="str">
        <f t="shared" si="588"/>
        <v/>
      </c>
      <c r="AC178" s="46" t="str">
        <f t="shared" si="589"/>
        <v/>
      </c>
      <c r="AD178" s="46" t="str">
        <f t="shared" si="590"/>
        <v/>
      </c>
      <c r="AE178" s="48">
        <f t="shared" si="591"/>
        <v>0</v>
      </c>
      <c r="AF178" s="48">
        <f t="shared" si="592"/>
        <v>0</v>
      </c>
      <c r="AG178" s="48">
        <f t="shared" si="593"/>
        <v>0</v>
      </c>
      <c r="AH178" s="48">
        <f t="shared" si="594"/>
        <v>0</v>
      </c>
      <c r="AI178" s="46">
        <f t="shared" si="595"/>
        <v>0</v>
      </c>
      <c r="AJ178" s="20">
        <f>IF(AI178&gt;0,I178*VLOOKUP(T178,'$ alcantarillado'!$I$6:$K$22,3),0)</f>
        <v>0</v>
      </c>
      <c r="AK178" s="20">
        <f t="shared" si="580"/>
        <v>0</v>
      </c>
      <c r="AL178" s="20">
        <f t="shared" si="581"/>
        <v>0</v>
      </c>
      <c r="AM178" s="20">
        <f t="shared" si="596"/>
        <v>0</v>
      </c>
      <c r="AN178" s="80">
        <f>+AP161</f>
        <v>5421411.7783333398</v>
      </c>
      <c r="AO178" s="78" t="str">
        <f t="shared" si="597"/>
        <v/>
      </c>
      <c r="AP178" s="215"/>
      <c r="AQ178" s="2"/>
      <c r="AR178" s="9"/>
    </row>
    <row r="179" spans="1:44" x14ac:dyDescent="0.25">
      <c r="A179" s="211"/>
      <c r="B179" s="211"/>
      <c r="C179" s="211"/>
      <c r="D179" s="211"/>
      <c r="E179" s="56">
        <v>4</v>
      </c>
      <c r="F179" s="2">
        <f>+H166</f>
        <v>45.82</v>
      </c>
      <c r="G179" s="56">
        <v>1</v>
      </c>
      <c r="H179" s="2">
        <f t="shared" si="598"/>
        <v>47.39</v>
      </c>
      <c r="I179" s="2">
        <f t="shared" ref="I179" si="601">+I178</f>
        <v>80</v>
      </c>
      <c r="J179" s="18">
        <f>+(F179-H179)/I179</f>
        <v>-1.9625000000000004E-2</v>
      </c>
      <c r="K179" s="2">
        <f t="shared" ref="K179" si="602">+K178</f>
        <v>948</v>
      </c>
      <c r="L179" s="15">
        <f t="shared" si="583"/>
        <v>13.275700000000001</v>
      </c>
      <c r="M179" s="33">
        <f t="shared" si="584"/>
        <v>1.32757E-2</v>
      </c>
      <c r="N179" s="33">
        <f t="shared" si="474"/>
        <v>0</v>
      </c>
      <c r="O179" s="33">
        <f t="shared" si="475"/>
        <v>0</v>
      </c>
      <c r="P179" s="58">
        <f t="shared" si="476"/>
        <v>0</v>
      </c>
      <c r="Q179" s="55" t="str">
        <f>IF(O179&gt;0,VLOOKUP(P179,'$ alcantarillado'!$I$5:$L$22,4,FALSE),"0")</f>
        <v>0</v>
      </c>
      <c r="R179" s="55" t="str">
        <f t="shared" si="477"/>
        <v/>
      </c>
      <c r="S179" s="35">
        <f t="shared" si="478"/>
        <v>0</v>
      </c>
      <c r="T179" s="58">
        <f>+IF(S179&gt;$B$13,VLOOKUP(P179,'$ alcantarillado'!$I$6:$N$22,5),P179)</f>
        <v>0</v>
      </c>
      <c r="U179" s="55" t="str">
        <f>IF(O179&gt;0,VLOOKUP(T179,'$ alcantarillado'!$I$5:$L$22,4),"0")</f>
        <v>0</v>
      </c>
      <c r="V179" s="55" t="str">
        <f t="shared" si="479"/>
        <v/>
      </c>
      <c r="W179" s="35">
        <f t="shared" si="480"/>
        <v>0</v>
      </c>
      <c r="X179" s="35" t="str">
        <f t="shared" si="585"/>
        <v/>
      </c>
      <c r="Y179" s="55" t="str">
        <f>IF(T179&gt;0,(VLOOKUP($W179,Relaciones!$A$4:$D$108,2)),"")</f>
        <v/>
      </c>
      <c r="Z179" s="35" t="str">
        <f t="shared" si="586"/>
        <v/>
      </c>
      <c r="AA179" s="35" t="str">
        <f t="shared" si="587"/>
        <v/>
      </c>
      <c r="AB179" s="46" t="str">
        <f t="shared" si="588"/>
        <v/>
      </c>
      <c r="AC179" s="46" t="str">
        <f t="shared" si="589"/>
        <v/>
      </c>
      <c r="AD179" s="46" t="str">
        <f t="shared" si="590"/>
        <v/>
      </c>
      <c r="AE179" s="48">
        <f t="shared" si="591"/>
        <v>0</v>
      </c>
      <c r="AF179" s="48">
        <f t="shared" si="592"/>
        <v>0</v>
      </c>
      <c r="AG179" s="48">
        <f t="shared" si="593"/>
        <v>0</v>
      </c>
      <c r="AH179" s="48">
        <f t="shared" si="594"/>
        <v>0</v>
      </c>
      <c r="AI179" s="46">
        <f t="shared" si="595"/>
        <v>0</v>
      </c>
      <c r="AJ179" s="20">
        <f>IF(AI179&gt;0,I179*VLOOKUP(T179,'$ alcantarillado'!$I$6:$K$22,3),0)</f>
        <v>0</v>
      </c>
      <c r="AK179" s="20">
        <f t="shared" si="580"/>
        <v>0</v>
      </c>
      <c r="AL179" s="20">
        <f t="shared" si="581"/>
        <v>0</v>
      </c>
      <c r="AM179" s="20">
        <f t="shared" si="596"/>
        <v>0</v>
      </c>
      <c r="AN179" s="80">
        <f>+AP166</f>
        <v>5653611.7783333398</v>
      </c>
      <c r="AO179" s="78" t="str">
        <f t="shared" si="597"/>
        <v/>
      </c>
      <c r="AP179" s="215"/>
      <c r="AQ179" s="2"/>
      <c r="AR179" s="9"/>
    </row>
    <row r="180" spans="1:44" ht="15.75" thickBot="1" x14ac:dyDescent="0.3">
      <c r="A180" s="211"/>
      <c r="B180" s="211"/>
      <c r="C180" s="211"/>
      <c r="D180" s="211"/>
      <c r="E180" s="6">
        <v>5</v>
      </c>
      <c r="F180" s="16">
        <f>+H171</f>
        <v>45.32</v>
      </c>
      <c r="G180" s="6">
        <v>1</v>
      </c>
      <c r="H180" s="10">
        <f>+H179</f>
        <v>47.39</v>
      </c>
      <c r="I180" s="10">
        <f>+I179</f>
        <v>80</v>
      </c>
      <c r="J180" s="19">
        <f t="shared" si="582"/>
        <v>-2.5875000000000002E-2</v>
      </c>
      <c r="K180" s="10">
        <f>+K179</f>
        <v>948</v>
      </c>
      <c r="L180" s="16">
        <f t="shared" si="583"/>
        <v>13.275700000000001</v>
      </c>
      <c r="M180" s="34">
        <f t="shared" si="584"/>
        <v>1.32757E-2</v>
      </c>
      <c r="N180" s="34">
        <f t="shared" si="474"/>
        <v>0</v>
      </c>
      <c r="O180" s="34">
        <f t="shared" si="475"/>
        <v>0</v>
      </c>
      <c r="P180" s="59">
        <f t="shared" si="476"/>
        <v>0</v>
      </c>
      <c r="Q180" s="55" t="str">
        <f>IF(O180&gt;0,VLOOKUP(P180,'$ alcantarillado'!$I$5:$L$22,4,FALSE),"0")</f>
        <v>0</v>
      </c>
      <c r="R180" s="55" t="str">
        <f t="shared" si="477"/>
        <v/>
      </c>
      <c r="S180" s="35">
        <f t="shared" si="478"/>
        <v>0</v>
      </c>
      <c r="T180" s="58">
        <f>+IF(S180&gt;$B$13,VLOOKUP(P180,'$ alcantarillado'!$I$6:$N$22,5),P180)</f>
        <v>0</v>
      </c>
      <c r="U180" s="55" t="str">
        <f>IF(O180&gt;0,VLOOKUP(T180,'$ alcantarillado'!$I$5:$L$22,4),"0")</f>
        <v>0</v>
      </c>
      <c r="V180" s="55" t="str">
        <f t="shared" si="479"/>
        <v/>
      </c>
      <c r="W180" s="35">
        <f t="shared" si="480"/>
        <v>0</v>
      </c>
      <c r="X180" s="35" t="str">
        <f t="shared" si="585"/>
        <v/>
      </c>
      <c r="Y180" s="55" t="str">
        <f>IF(T180&gt;0,(VLOOKUP($W180,Relaciones!$A$4:$D$108,2)),"")</f>
        <v/>
      </c>
      <c r="Z180" s="35" t="str">
        <f t="shared" si="586"/>
        <v/>
      </c>
      <c r="AA180" s="35" t="str">
        <f t="shared" si="587"/>
        <v/>
      </c>
      <c r="AB180" s="46" t="str">
        <f t="shared" si="588"/>
        <v/>
      </c>
      <c r="AC180" s="46" t="str">
        <f t="shared" si="589"/>
        <v/>
      </c>
      <c r="AD180" s="46" t="str">
        <f t="shared" si="590"/>
        <v/>
      </c>
      <c r="AE180" s="48">
        <f t="shared" si="591"/>
        <v>0</v>
      </c>
      <c r="AF180" s="48">
        <f t="shared" si="592"/>
        <v>0</v>
      </c>
      <c r="AG180" s="48">
        <f t="shared" si="593"/>
        <v>0</v>
      </c>
      <c r="AH180" s="48">
        <f t="shared" si="594"/>
        <v>0</v>
      </c>
      <c r="AI180" s="46">
        <f t="shared" si="595"/>
        <v>0</v>
      </c>
      <c r="AJ180" s="22">
        <f>IF(AI180&gt;0,I180*VLOOKUP(T180,'$ alcantarillado'!$I$6:$K$22,3),0)</f>
        <v>0</v>
      </c>
      <c r="AK180" s="20">
        <f t="shared" si="580"/>
        <v>0</v>
      </c>
      <c r="AL180" s="20">
        <f t="shared" si="581"/>
        <v>0</v>
      </c>
      <c r="AM180" s="22">
        <f t="shared" si="596"/>
        <v>0</v>
      </c>
      <c r="AN180" s="80">
        <f>+AP171</f>
        <v>5885811.7783333398</v>
      </c>
      <c r="AO180" s="79" t="str">
        <f t="shared" si="597"/>
        <v/>
      </c>
      <c r="AP180" s="216"/>
      <c r="AQ180" s="10"/>
      <c r="AR180" s="11"/>
    </row>
    <row r="181" spans="1:44" x14ac:dyDescent="0.25">
      <c r="A181" s="211"/>
      <c r="B181" s="211"/>
      <c r="C181" s="211"/>
      <c r="D181" s="211"/>
      <c r="E181" s="4">
        <v>1</v>
      </c>
      <c r="F181" s="7">
        <f>+H151</f>
        <v>47.32</v>
      </c>
      <c r="G181" s="4">
        <v>2</v>
      </c>
      <c r="H181" s="2">
        <f>+H176-$B$4</f>
        <v>46.89</v>
      </c>
      <c r="I181" s="2">
        <f>+I180</f>
        <v>80</v>
      </c>
      <c r="J181" s="18">
        <f>+(F181-H181)/I181</f>
        <v>5.3749999999999961E-3</v>
      </c>
      <c r="K181" s="2">
        <f>+K180</f>
        <v>948</v>
      </c>
      <c r="L181" s="14">
        <f>IF(K181&lt;38,K181^0.3686*0.7401,IF(K181&lt;235,K181^0.4193*0.6215,IF(K181&lt;932,K181*0.0092+4.2493,K181*0.0069+6.7345)))</f>
        <v>13.275700000000001</v>
      </c>
      <c r="M181" s="31">
        <f>+L181/1000</f>
        <v>1.32757E-2</v>
      </c>
      <c r="N181" s="31">
        <f t="shared" si="474"/>
        <v>0.1450630704499157</v>
      </c>
      <c r="O181" s="31">
        <f t="shared" si="475"/>
        <v>5.711144505902193</v>
      </c>
      <c r="P181" s="57">
        <f t="shared" si="476"/>
        <v>6</v>
      </c>
      <c r="Q181" s="60">
        <f>IF(O181&gt;0,VLOOKUP(P181,'$ alcantarillado'!$I$5:$L$22,4,FALSE),"0")</f>
        <v>0.14499999999999999</v>
      </c>
      <c r="R181" s="60">
        <f t="shared" si="477"/>
        <v>1.3260313570181519E-2</v>
      </c>
      <c r="S181" s="27">
        <f t="shared" si="478"/>
        <v>1.0011603368002608</v>
      </c>
      <c r="T181" s="57">
        <f>+IF(S181&gt;$B$13,VLOOKUP(P181,'$ alcantarillado'!$I$6:$N$22,5),P181)</f>
        <v>8</v>
      </c>
      <c r="U181" s="60">
        <f>IF(O181&gt;0,VLOOKUP(T181,'$ alcantarillado'!$I$5:$L$22,4),"0")</f>
        <v>0.182</v>
      </c>
      <c r="V181" s="60">
        <f t="shared" si="479"/>
        <v>2.4308760944232927E-2</v>
      </c>
      <c r="W181" s="27">
        <f t="shared" si="480"/>
        <v>0.54612820581254518</v>
      </c>
      <c r="X181" s="27">
        <f>IF(T181&gt;0,4*V181/(PI()*(U181)^2),"")</f>
        <v>0.9343942675314284</v>
      </c>
      <c r="Y181" s="60">
        <f>IF(T181&gt;0,(VLOOKUP($W181,Relaciones!$A$4:$D$108,2)),"")</f>
        <v>0.87</v>
      </c>
      <c r="Z181" s="27">
        <f>IF(T181&gt;0,Y181*X181,"")</f>
        <v>0.81292301275234269</v>
      </c>
      <c r="AA181" s="27">
        <f>IF(T181&gt;0,250*U181*J181,"")</f>
        <v>0.24456249999999982</v>
      </c>
      <c r="AB181" s="45" t="str">
        <f>IF(T181&gt;0,IF(W181&lt;=$B$13,"OK","No Cumple"),"")</f>
        <v>OK</v>
      </c>
      <c r="AC181" s="45" t="str">
        <f>IF(T181&gt;0,IF(Z181&gt;=$B$12,"OK","No Cumple"),"")</f>
        <v>OK</v>
      </c>
      <c r="AD181" s="45" t="str">
        <f>IF(T181&gt;0,IF(AA181&gt;$B$14,"OK","No Cumple"),"")</f>
        <v>OK</v>
      </c>
      <c r="AE181" s="32">
        <f>+IF(AB181="OK",1,0)</f>
        <v>1</v>
      </c>
      <c r="AF181" s="32">
        <f>+IF(AC181="OK",1,0)</f>
        <v>1</v>
      </c>
      <c r="AG181" s="32">
        <f>+IF(AD181="OK",1,0)</f>
        <v>1</v>
      </c>
      <c r="AH181" s="32">
        <f>SUM(AE181:AG181)</f>
        <v>3</v>
      </c>
      <c r="AI181" s="45">
        <f>IF(AH181=3,2*$B$7+U181,0)</f>
        <v>0.68199999999999994</v>
      </c>
      <c r="AJ181" s="21">
        <f>IF(AI181&gt;0,I181*VLOOKUP(T181,'$ alcantarillado'!$I$6:$K$22,3),0)</f>
        <v>2654586.666666667</v>
      </c>
      <c r="AK181" s="61">
        <f t="shared" si="580"/>
        <v>3017931.8400000036</v>
      </c>
      <c r="AL181" s="61">
        <f t="shared" si="581"/>
        <v>1313600.2420000019</v>
      </c>
      <c r="AM181" s="21">
        <f>IF(AJ181&gt;0,AJ181+AK181+AL181,0)</f>
        <v>6986118.748666672</v>
      </c>
      <c r="AN181" s="81">
        <f>IF(AP151&gt;0,+AP151,0)</f>
        <v>5900568.248666672</v>
      </c>
      <c r="AO181" s="67">
        <f>IF((AM181)&gt;0,IF(AN181&gt;0,AM181+AN181,""),"")</f>
        <v>12886686.997333344</v>
      </c>
      <c r="AP181" s="221">
        <f>+MIN(AO181:AO185)</f>
        <v>12886686.997333344</v>
      </c>
      <c r="AQ181" s="2"/>
      <c r="AR181" s="9"/>
    </row>
    <row r="182" spans="1:44" x14ac:dyDescent="0.25">
      <c r="A182" s="211"/>
      <c r="B182" s="211"/>
      <c r="C182" s="211"/>
      <c r="D182" s="211"/>
      <c r="E182" s="5">
        <v>2</v>
      </c>
      <c r="F182" s="2">
        <f>+H156</f>
        <v>46.82</v>
      </c>
      <c r="G182" s="5">
        <v>2</v>
      </c>
      <c r="H182" s="2">
        <f>+H181</f>
        <v>46.89</v>
      </c>
      <c r="I182" s="2">
        <f>+I181</f>
        <v>80</v>
      </c>
      <c r="J182" s="18">
        <f t="shared" si="582"/>
        <v>-8.750000000000036E-4</v>
      </c>
      <c r="K182" s="2">
        <f>+K181</f>
        <v>948</v>
      </c>
      <c r="L182" s="15">
        <f t="shared" si="583"/>
        <v>13.275700000000001</v>
      </c>
      <c r="M182" s="33">
        <f t="shared" ref="M182:M185" si="603">+L182/1000</f>
        <v>1.32757E-2</v>
      </c>
      <c r="N182" s="33">
        <f t="shared" si="474"/>
        <v>0</v>
      </c>
      <c r="O182" s="33">
        <f t="shared" si="475"/>
        <v>0</v>
      </c>
      <c r="P182" s="58">
        <f t="shared" si="476"/>
        <v>0</v>
      </c>
      <c r="Q182" s="55" t="str">
        <f>IF(O182&gt;0,VLOOKUP(P182,'$ alcantarillado'!$I$5:$L$22,4,FALSE),"0")</f>
        <v>0</v>
      </c>
      <c r="R182" s="55" t="str">
        <f t="shared" si="477"/>
        <v/>
      </c>
      <c r="S182" s="35">
        <f t="shared" si="478"/>
        <v>0</v>
      </c>
      <c r="T182" s="58">
        <f>+IF(S182&gt;$B$13,VLOOKUP(P182,'$ alcantarillado'!$I$6:$N$22,5),P182)</f>
        <v>0</v>
      </c>
      <c r="U182" s="55" t="str">
        <f>IF(O182&gt;0,VLOOKUP(T182,'$ alcantarillado'!$I$5:$L$22,4),"0")</f>
        <v>0</v>
      </c>
      <c r="V182" s="55" t="str">
        <f t="shared" si="479"/>
        <v/>
      </c>
      <c r="W182" s="35">
        <f t="shared" si="480"/>
        <v>0</v>
      </c>
      <c r="X182" s="35" t="str">
        <f t="shared" ref="X182:X185" si="604">IF(T182&gt;0,4*V182/(PI()*(U182)^2),"")</f>
        <v/>
      </c>
      <c r="Y182" s="55" t="str">
        <f>IF(T182&gt;0,(VLOOKUP($W182,Relaciones!$A$4:$D$108,2)),"")</f>
        <v/>
      </c>
      <c r="Z182" s="35" t="str">
        <f t="shared" ref="Z182:Z185" si="605">IF(T182&gt;0,Y182*X182,"")</f>
        <v/>
      </c>
      <c r="AA182" s="35" t="str">
        <f t="shared" ref="AA182:AA185" si="606">IF(T182&gt;0,250*U182*J182,"")</f>
        <v/>
      </c>
      <c r="AB182" s="46" t="str">
        <f t="shared" ref="AB182:AB185" si="607">IF(T182&gt;0,IF(W182&lt;=$B$13,"OK","No Cumple"),"")</f>
        <v/>
      </c>
      <c r="AC182" s="46" t="str">
        <f t="shared" ref="AC182:AC185" si="608">IF(T182&gt;0,IF(Z182&gt;=$B$12,"OK","No Cumple"),"")</f>
        <v/>
      </c>
      <c r="AD182" s="46" t="str">
        <f t="shared" ref="AD182:AD185" si="609">IF(T182&gt;0,IF(AA182&gt;$B$14,"OK","No Cumple"),"")</f>
        <v/>
      </c>
      <c r="AE182" s="48">
        <f t="shared" ref="AE182:AE185" si="610">+IF(AB182="OK",1,0)</f>
        <v>0</v>
      </c>
      <c r="AF182" s="48">
        <f t="shared" ref="AF182:AF185" si="611">+IF(AC182="OK",1,0)</f>
        <v>0</v>
      </c>
      <c r="AG182" s="48">
        <f t="shared" ref="AG182:AG185" si="612">+IF(AD182="OK",1,0)</f>
        <v>0</v>
      </c>
      <c r="AH182" s="48">
        <f t="shared" ref="AH182:AH185" si="613">SUM(AE182:AG182)</f>
        <v>0</v>
      </c>
      <c r="AI182" s="46">
        <f t="shared" ref="AI182:AI185" si="614">IF(AH182=3,2*$B$7+U182,0)</f>
        <v>0</v>
      </c>
      <c r="AJ182" s="20">
        <f>IF(AI182&gt;0,I182*VLOOKUP(T182,'$ alcantarillado'!$I$6:$K$22,3),0)</f>
        <v>0</v>
      </c>
      <c r="AK182" s="20">
        <f t="shared" si="580"/>
        <v>0</v>
      </c>
      <c r="AL182" s="20">
        <f t="shared" si="581"/>
        <v>0</v>
      </c>
      <c r="AM182" s="20">
        <f t="shared" si="596"/>
        <v>0</v>
      </c>
      <c r="AN182" s="80">
        <f>+AP156</f>
        <v>5189211.7783333398</v>
      </c>
      <c r="AO182" s="78" t="str">
        <f t="shared" ref="AO182:AO185" si="615">IF((AM182)&gt;0,IF(AN182&gt;0,AM182+AN182,""),"")</f>
        <v/>
      </c>
      <c r="AP182" s="222"/>
      <c r="AQ182" s="2"/>
      <c r="AR182" s="9"/>
    </row>
    <row r="183" spans="1:44" x14ac:dyDescent="0.25">
      <c r="A183" s="211"/>
      <c r="B183" s="211"/>
      <c r="C183" s="211"/>
      <c r="D183" s="211"/>
      <c r="E183" s="56">
        <v>3</v>
      </c>
      <c r="F183" s="2">
        <f>+H161</f>
        <v>46.32</v>
      </c>
      <c r="G183" s="56">
        <v>2</v>
      </c>
      <c r="H183" s="2">
        <f t="shared" ref="H183:H184" si="616">+H182</f>
        <v>46.89</v>
      </c>
      <c r="I183" s="2">
        <f t="shared" ref="I183" si="617">+I182</f>
        <v>80</v>
      </c>
      <c r="J183" s="18">
        <f t="shared" si="582"/>
        <v>-7.1250000000000037E-3</v>
      </c>
      <c r="K183" s="2">
        <f t="shared" ref="K183:K184" si="618">+K182</f>
        <v>948</v>
      </c>
      <c r="L183" s="15">
        <f t="shared" si="583"/>
        <v>13.275700000000001</v>
      </c>
      <c r="M183" s="33">
        <f t="shared" si="603"/>
        <v>1.32757E-2</v>
      </c>
      <c r="N183" s="33">
        <f t="shared" si="474"/>
        <v>0</v>
      </c>
      <c r="O183" s="33">
        <f t="shared" ref="O183:O200" si="619">+N183*(100/2.54)</f>
        <v>0</v>
      </c>
      <c r="P183" s="58">
        <f t="shared" si="476"/>
        <v>0</v>
      </c>
      <c r="Q183" s="55" t="str">
        <f>IF(O183&gt;0,VLOOKUP(P183,'$ alcantarillado'!$I$5:$L$22,4,FALSE),"0")</f>
        <v>0</v>
      </c>
      <c r="R183" s="55" t="str">
        <f t="shared" ref="R183:R200" si="620">IF(P183&gt;0,PI()*((Q183)^(8/3))*((J183)^0.5)/($B$2*4^(5/3)),"")</f>
        <v/>
      </c>
      <c r="S183" s="35">
        <f t="shared" ref="S183:S200" si="621">IF(P183&gt;0,+M183/R183,0)</f>
        <v>0</v>
      </c>
      <c r="T183" s="58">
        <f>+IF(S183&gt;$B$13,VLOOKUP(P183,'$ alcantarillado'!$I$6:$N$22,5),P183)</f>
        <v>0</v>
      </c>
      <c r="U183" s="55" t="str">
        <f>IF(O183&gt;0,VLOOKUP(T183,'$ alcantarillado'!$I$5:$L$22,4),"0")</f>
        <v>0</v>
      </c>
      <c r="V183" s="55" t="str">
        <f t="shared" si="479"/>
        <v/>
      </c>
      <c r="W183" s="35">
        <f t="shared" ref="W183:W200" si="622">IF(T183&gt;0,M183/V183,0)</f>
        <v>0</v>
      </c>
      <c r="X183" s="35" t="str">
        <f t="shared" si="604"/>
        <v/>
      </c>
      <c r="Y183" s="55" t="str">
        <f>IF(T183&gt;0,(VLOOKUP($W183,Relaciones!$A$4:$D$108,2)),"")</f>
        <v/>
      </c>
      <c r="Z183" s="35" t="str">
        <f t="shared" si="605"/>
        <v/>
      </c>
      <c r="AA183" s="35" t="str">
        <f t="shared" si="606"/>
        <v/>
      </c>
      <c r="AB183" s="46" t="str">
        <f t="shared" si="607"/>
        <v/>
      </c>
      <c r="AC183" s="46" t="str">
        <f t="shared" si="608"/>
        <v/>
      </c>
      <c r="AD183" s="46" t="str">
        <f t="shared" si="609"/>
        <v/>
      </c>
      <c r="AE183" s="48">
        <f t="shared" si="610"/>
        <v>0</v>
      </c>
      <c r="AF183" s="48">
        <f t="shared" si="611"/>
        <v>0</v>
      </c>
      <c r="AG183" s="48">
        <f t="shared" si="612"/>
        <v>0</v>
      </c>
      <c r="AH183" s="48">
        <f t="shared" si="613"/>
        <v>0</v>
      </c>
      <c r="AI183" s="46">
        <f t="shared" si="614"/>
        <v>0</v>
      </c>
      <c r="AJ183" s="20">
        <f>IF(AI183&gt;0,I183*VLOOKUP(T183,'$ alcantarillado'!$I$6:$K$22,3),0)</f>
        <v>0</v>
      </c>
      <c r="AK183" s="20">
        <f t="shared" si="580"/>
        <v>0</v>
      </c>
      <c r="AL183" s="20">
        <f t="shared" si="581"/>
        <v>0</v>
      </c>
      <c r="AM183" s="20">
        <f t="shared" si="596"/>
        <v>0</v>
      </c>
      <c r="AN183" s="80">
        <f>+AP161</f>
        <v>5421411.7783333398</v>
      </c>
      <c r="AO183" s="78" t="str">
        <f t="shared" si="615"/>
        <v/>
      </c>
      <c r="AP183" s="223"/>
      <c r="AQ183" s="2">
        <v>1</v>
      </c>
      <c r="AR183" s="9">
        <v>2</v>
      </c>
    </row>
    <row r="184" spans="1:44" x14ac:dyDescent="0.25">
      <c r="A184" s="211"/>
      <c r="B184" s="211"/>
      <c r="C184" s="211"/>
      <c r="D184" s="211"/>
      <c r="E184" s="56">
        <v>4</v>
      </c>
      <c r="F184" s="2">
        <f>+H166</f>
        <v>45.82</v>
      </c>
      <c r="G184" s="56">
        <v>2</v>
      </c>
      <c r="H184" s="2">
        <f t="shared" si="616"/>
        <v>46.89</v>
      </c>
      <c r="I184" s="2">
        <f t="shared" ref="I184" si="623">+I183</f>
        <v>80</v>
      </c>
      <c r="J184" s="18">
        <f>+(F184-H184)/I184</f>
        <v>-1.3375000000000003E-2</v>
      </c>
      <c r="K184" s="2">
        <f t="shared" si="618"/>
        <v>948</v>
      </c>
      <c r="L184" s="15">
        <f t="shared" si="583"/>
        <v>13.275700000000001</v>
      </c>
      <c r="M184" s="33">
        <f t="shared" si="603"/>
        <v>1.32757E-2</v>
      </c>
      <c r="N184" s="33">
        <f t="shared" si="474"/>
        <v>0</v>
      </c>
      <c r="O184" s="33">
        <f t="shared" si="619"/>
        <v>0</v>
      </c>
      <c r="P184" s="58">
        <f t="shared" si="476"/>
        <v>0</v>
      </c>
      <c r="Q184" s="55" t="str">
        <f>IF(O184&gt;0,VLOOKUP(P184,'$ alcantarillado'!$I$5:$L$22,4,FALSE),"0")</f>
        <v>0</v>
      </c>
      <c r="R184" s="55" t="str">
        <f t="shared" si="620"/>
        <v/>
      </c>
      <c r="S184" s="35">
        <f t="shared" si="621"/>
        <v>0</v>
      </c>
      <c r="T184" s="58">
        <f>+IF(S184&gt;$B$13,VLOOKUP(P184,'$ alcantarillado'!$I$6:$N$22,5),P184)</f>
        <v>0</v>
      </c>
      <c r="U184" s="55" t="str">
        <f>IF(O184&gt;0,VLOOKUP(T184,'$ alcantarillado'!$I$5:$L$22,4),"0")</f>
        <v>0</v>
      </c>
      <c r="V184" s="55" t="str">
        <f t="shared" si="479"/>
        <v/>
      </c>
      <c r="W184" s="35">
        <f t="shared" si="622"/>
        <v>0</v>
      </c>
      <c r="X184" s="35" t="str">
        <f t="shared" si="604"/>
        <v/>
      </c>
      <c r="Y184" s="55" t="str">
        <f>IF(T184&gt;0,(VLOOKUP($W184,Relaciones!$A$4:$D$108,2)),"")</f>
        <v/>
      </c>
      <c r="Z184" s="35" t="str">
        <f t="shared" si="605"/>
        <v/>
      </c>
      <c r="AA184" s="35" t="str">
        <f t="shared" si="606"/>
        <v/>
      </c>
      <c r="AB184" s="46" t="str">
        <f t="shared" si="607"/>
        <v/>
      </c>
      <c r="AC184" s="46" t="str">
        <f t="shared" si="608"/>
        <v/>
      </c>
      <c r="AD184" s="46" t="str">
        <f t="shared" si="609"/>
        <v/>
      </c>
      <c r="AE184" s="48">
        <f t="shared" si="610"/>
        <v>0</v>
      </c>
      <c r="AF184" s="48">
        <f t="shared" si="611"/>
        <v>0</v>
      </c>
      <c r="AG184" s="48">
        <f t="shared" si="612"/>
        <v>0</v>
      </c>
      <c r="AH184" s="48">
        <f t="shared" si="613"/>
        <v>0</v>
      </c>
      <c r="AI184" s="46">
        <f t="shared" si="614"/>
        <v>0</v>
      </c>
      <c r="AJ184" s="20">
        <f>IF(AI184&gt;0,I184*VLOOKUP(T184,'$ alcantarillado'!$I$6:$K$22,3),0)</f>
        <v>0</v>
      </c>
      <c r="AK184" s="20">
        <f t="shared" si="580"/>
        <v>0</v>
      </c>
      <c r="AL184" s="20">
        <f t="shared" si="581"/>
        <v>0</v>
      </c>
      <c r="AM184" s="20">
        <f t="shared" si="596"/>
        <v>0</v>
      </c>
      <c r="AN184" s="80">
        <f>+AP166</f>
        <v>5653611.7783333398</v>
      </c>
      <c r="AO184" s="78" t="str">
        <f t="shared" si="615"/>
        <v/>
      </c>
      <c r="AP184" s="223"/>
      <c r="AQ184" s="2"/>
      <c r="AR184" s="9"/>
    </row>
    <row r="185" spans="1:44" ht="15.75" thickBot="1" x14ac:dyDescent="0.3">
      <c r="A185" s="211"/>
      <c r="B185" s="211"/>
      <c r="C185" s="211"/>
      <c r="D185" s="211"/>
      <c r="E185" s="6">
        <v>5</v>
      </c>
      <c r="F185" s="16">
        <f>+H171</f>
        <v>45.32</v>
      </c>
      <c r="G185" s="6">
        <v>2</v>
      </c>
      <c r="H185" s="10">
        <f>+H184</f>
        <v>46.89</v>
      </c>
      <c r="I185" s="10">
        <f>+I184</f>
        <v>80</v>
      </c>
      <c r="J185" s="19">
        <f t="shared" si="582"/>
        <v>-1.9625000000000004E-2</v>
      </c>
      <c r="K185" s="10">
        <f>+K184</f>
        <v>948</v>
      </c>
      <c r="L185" s="16">
        <f t="shared" si="583"/>
        <v>13.275700000000001</v>
      </c>
      <c r="M185" s="34">
        <f t="shared" si="603"/>
        <v>1.32757E-2</v>
      </c>
      <c r="N185" s="34">
        <f t="shared" si="474"/>
        <v>0</v>
      </c>
      <c r="O185" s="34">
        <f t="shared" si="619"/>
        <v>0</v>
      </c>
      <c r="P185" s="59">
        <f t="shared" si="476"/>
        <v>0</v>
      </c>
      <c r="Q185" s="55" t="str">
        <f>IF(O185&gt;0,VLOOKUP(P185,'$ alcantarillado'!$I$5:$L$22,4,FALSE),"0")</f>
        <v>0</v>
      </c>
      <c r="R185" s="47" t="str">
        <f t="shared" si="620"/>
        <v/>
      </c>
      <c r="S185" s="35">
        <f t="shared" si="621"/>
        <v>0</v>
      </c>
      <c r="T185" s="58">
        <f>+IF(S185&gt;$B$13,VLOOKUP(P185,'$ alcantarillado'!$I$6:$N$22,5),P185)</f>
        <v>0</v>
      </c>
      <c r="U185" s="55" t="str">
        <f>IF(O185&gt;0,VLOOKUP(T185,'$ alcantarillado'!$I$5:$L$22,4),"0")</f>
        <v>0</v>
      </c>
      <c r="V185" s="55" t="str">
        <f t="shared" si="479"/>
        <v/>
      </c>
      <c r="W185" s="35">
        <f t="shared" si="622"/>
        <v>0</v>
      </c>
      <c r="X185" s="35" t="str">
        <f t="shared" si="604"/>
        <v/>
      </c>
      <c r="Y185" s="55" t="str">
        <f>IF(T185&gt;0,(VLOOKUP($W185,Relaciones!$A$4:$D$108,2)),"")</f>
        <v/>
      </c>
      <c r="Z185" s="35" t="str">
        <f t="shared" si="605"/>
        <v/>
      </c>
      <c r="AA185" s="35" t="str">
        <f t="shared" si="606"/>
        <v/>
      </c>
      <c r="AB185" s="46" t="str">
        <f t="shared" si="607"/>
        <v/>
      </c>
      <c r="AC185" s="46" t="str">
        <f t="shared" si="608"/>
        <v/>
      </c>
      <c r="AD185" s="46" t="str">
        <f t="shared" si="609"/>
        <v/>
      </c>
      <c r="AE185" s="48">
        <f t="shared" si="610"/>
        <v>0</v>
      </c>
      <c r="AF185" s="48">
        <f t="shared" si="611"/>
        <v>0</v>
      </c>
      <c r="AG185" s="48">
        <f t="shared" si="612"/>
        <v>0</v>
      </c>
      <c r="AH185" s="48">
        <f t="shared" si="613"/>
        <v>0</v>
      </c>
      <c r="AI185" s="46">
        <f t="shared" si="614"/>
        <v>0</v>
      </c>
      <c r="AJ185" s="22">
        <f>IF(AI185&gt;0,I185*VLOOKUP(T185,'$ alcantarillado'!$I$6:$K$22,3),0)</f>
        <v>0</v>
      </c>
      <c r="AK185" s="20">
        <f t="shared" si="580"/>
        <v>0</v>
      </c>
      <c r="AL185" s="20">
        <f t="shared" si="581"/>
        <v>0</v>
      </c>
      <c r="AM185" s="22">
        <f t="shared" si="596"/>
        <v>0</v>
      </c>
      <c r="AN185" s="82">
        <f>+AP171</f>
        <v>5885811.7783333398</v>
      </c>
      <c r="AO185" s="79" t="str">
        <f t="shared" si="615"/>
        <v/>
      </c>
      <c r="AP185" s="224"/>
      <c r="AQ185" s="10"/>
      <c r="AR185" s="11"/>
    </row>
    <row r="186" spans="1:44" x14ac:dyDescent="0.25">
      <c r="A186" s="211"/>
      <c r="B186" s="211"/>
      <c r="C186" s="211"/>
      <c r="D186" s="211"/>
      <c r="E186" s="4">
        <v>1</v>
      </c>
      <c r="F186" s="7">
        <f>+H151</f>
        <v>47.32</v>
      </c>
      <c r="G186" s="4">
        <v>3</v>
      </c>
      <c r="H186" s="7">
        <f>+H181-$B$4</f>
        <v>46.39</v>
      </c>
      <c r="I186" s="7">
        <f t="shared" ref="I186" si="624">+I185</f>
        <v>80</v>
      </c>
      <c r="J186" s="18">
        <f>+(F186-H186)/I186</f>
        <v>1.1624999999999996E-2</v>
      </c>
      <c r="K186" s="7">
        <f t="shared" ref="K186" si="625">+K185</f>
        <v>948</v>
      </c>
      <c r="L186" s="14">
        <f>IF(K186&lt;38,K186^0.3686*0.7401,IF(K186&lt;235,K186^0.4193*0.6215,IF(K186&lt;932,K186*0.0092+4.2493,K186*0.0069+6.7345)))</f>
        <v>13.275700000000001</v>
      </c>
      <c r="M186" s="31">
        <f>+L186/1000</f>
        <v>1.32757E-2</v>
      </c>
      <c r="N186" s="31">
        <f t="shared" si="474"/>
        <v>0.1255283002556522</v>
      </c>
      <c r="O186" s="31">
        <f t="shared" si="619"/>
        <v>4.942059065183158</v>
      </c>
      <c r="P186" s="57">
        <f t="shared" si="476"/>
        <v>6</v>
      </c>
      <c r="Q186" s="60">
        <f>IF(O186&gt;0,VLOOKUP(P186,'$ alcantarillado'!$I$5:$L$22,4,FALSE),"0")</f>
        <v>0.14499999999999999</v>
      </c>
      <c r="R186" s="60">
        <f t="shared" si="620"/>
        <v>1.9501186717674649E-2</v>
      </c>
      <c r="S186" s="27">
        <f t="shared" si="621"/>
        <v>0.68076369875315024</v>
      </c>
      <c r="T186" s="57">
        <f>+IF(S186&gt;$B$13,VLOOKUP(P186,'$ alcantarillado'!$I$6:$N$22,5),P186)</f>
        <v>6</v>
      </c>
      <c r="U186" s="60">
        <f>IF(O186&gt;0,VLOOKUP(T186,'$ alcantarillado'!$I$5:$L$22,4),"0")</f>
        <v>0.14499999999999999</v>
      </c>
      <c r="V186" s="60">
        <f t="shared" si="479"/>
        <v>1.9501186717674649E-2</v>
      </c>
      <c r="W186" s="27">
        <f t="shared" si="622"/>
        <v>0.68076369875315024</v>
      </c>
      <c r="X186" s="27">
        <f>IF(T186&gt;0,4*V186/(PI()*(U186)^2),"")</f>
        <v>1.1809599095461343</v>
      </c>
      <c r="Y186" s="60">
        <f>IF(T186&gt;0,(VLOOKUP($W186,Relaciones!$A$4:$D$108,2)),"")</f>
        <v>0.93600000000000005</v>
      </c>
      <c r="Z186" s="27">
        <f>IF(T186&gt;0,Y186*X186,"")</f>
        <v>1.1053784753351819</v>
      </c>
      <c r="AA186" s="27">
        <f>IF(T186&gt;0,250*U186*J186,"")</f>
        <v>0.42140624999999987</v>
      </c>
      <c r="AB186" s="45" t="str">
        <f>IF(T186&gt;0,IF(W186&lt;=$B$13,"OK","No Cumple"),"")</f>
        <v>OK</v>
      </c>
      <c r="AC186" s="45" t="str">
        <f>IF(T186&gt;0,IF(Z186&gt;=$B$12,"OK","No Cumple"),"")</f>
        <v>OK</v>
      </c>
      <c r="AD186" s="45" t="str">
        <f>IF(T186&gt;0,IF(AA186&gt;$B$14,"OK","No Cumple"),"")</f>
        <v>OK</v>
      </c>
      <c r="AE186" s="32">
        <f>+IF(AB186="OK",1,0)</f>
        <v>1</v>
      </c>
      <c r="AF186" s="32">
        <f>+IF(AC186="OK",1,0)</f>
        <v>1</v>
      </c>
      <c r="AG186" s="32">
        <f>+IF(AD186="OK",1,0)</f>
        <v>1</v>
      </c>
      <c r="AH186" s="32">
        <f>SUM(AE186:AG186)</f>
        <v>3</v>
      </c>
      <c r="AI186" s="45">
        <f>IF(AH186=3,2*$B$7+U186,0)</f>
        <v>0.64500000000000002</v>
      </c>
      <c r="AJ186" s="21">
        <f>IF(AI186&gt;0,I186*VLOOKUP(T186,'$ alcantarillado'!$I$6:$K$22,3),0)</f>
        <v>1912173.3333333335</v>
      </c>
      <c r="AK186" s="61">
        <f t="shared" si="580"/>
        <v>3034854.0000000042</v>
      </c>
      <c r="AL186" s="61">
        <f t="shared" si="581"/>
        <v>1287774.9450000019</v>
      </c>
      <c r="AM186" s="21">
        <f>IF(AJ186&gt;0,AJ186+AK186+AL186,0)</f>
        <v>6234802.2783333398</v>
      </c>
      <c r="AN186" s="81">
        <f>IF(AP151&gt;0,+AP151,0)</f>
        <v>5900568.248666672</v>
      </c>
      <c r="AO186" s="77">
        <f>IF((AM186)&gt;0,IF(AN186&gt;0,AM186+AN186,""),"")</f>
        <v>12135370.527000012</v>
      </c>
      <c r="AP186" s="213">
        <f>+MIN(AO186:AO190)</f>
        <v>12135370.527000012</v>
      </c>
      <c r="AQ186" s="7"/>
      <c r="AR186" s="8"/>
    </row>
    <row r="187" spans="1:44" x14ac:dyDescent="0.25">
      <c r="A187" s="211"/>
      <c r="B187" s="211"/>
      <c r="C187" s="211"/>
      <c r="D187" s="211"/>
      <c r="E187" s="5">
        <v>2</v>
      </c>
      <c r="F187" s="2">
        <f>+H156</f>
        <v>46.82</v>
      </c>
      <c r="G187" s="5">
        <v>3</v>
      </c>
      <c r="H187" s="2">
        <f>+H186</f>
        <v>46.39</v>
      </c>
      <c r="I187" s="2">
        <f>+I186</f>
        <v>80</v>
      </c>
      <c r="J187" s="18">
        <f t="shared" si="582"/>
        <v>5.3749999999999961E-3</v>
      </c>
      <c r="K187" s="2">
        <f>+K186</f>
        <v>948</v>
      </c>
      <c r="L187" s="15">
        <f t="shared" si="583"/>
        <v>13.275700000000001</v>
      </c>
      <c r="M187" s="33">
        <f t="shared" ref="M187:M190" si="626">+L187/1000</f>
        <v>1.32757E-2</v>
      </c>
      <c r="N187" s="33">
        <f t="shared" si="474"/>
        <v>0.1450630704499157</v>
      </c>
      <c r="O187" s="33">
        <f t="shared" si="619"/>
        <v>5.711144505902193</v>
      </c>
      <c r="P187" s="58">
        <f t="shared" si="476"/>
        <v>6</v>
      </c>
      <c r="Q187" s="55">
        <f>IF(O187&gt;0,VLOOKUP(P187,'$ alcantarillado'!$I$5:$L$22,4,FALSE),"0")</f>
        <v>0.14499999999999999</v>
      </c>
      <c r="R187" s="55">
        <f t="shared" si="620"/>
        <v>1.3260313570181519E-2</v>
      </c>
      <c r="S187" s="35">
        <f t="shared" si="621"/>
        <v>1.0011603368002608</v>
      </c>
      <c r="T187" s="58">
        <f>+IF(S187&gt;$B$13,VLOOKUP(P187,'$ alcantarillado'!$I$6:$N$22,5),P187)</f>
        <v>8</v>
      </c>
      <c r="U187" s="55">
        <f>IF(O187&gt;0,VLOOKUP(T187,'$ alcantarillado'!$I$5:$L$22,4),"0")</f>
        <v>0.182</v>
      </c>
      <c r="V187" s="55">
        <f t="shared" si="479"/>
        <v>2.4308760944232927E-2</v>
      </c>
      <c r="W187" s="35">
        <f t="shared" si="622"/>
        <v>0.54612820581254518</v>
      </c>
      <c r="X187" s="35">
        <f t="shared" ref="X187:X190" si="627">IF(T187&gt;0,4*V187/(PI()*(U187)^2),"")</f>
        <v>0.9343942675314284</v>
      </c>
      <c r="Y187" s="55">
        <f>IF(T187&gt;0,(VLOOKUP($W187,Relaciones!$A$4:$D$108,2)),"")</f>
        <v>0.87</v>
      </c>
      <c r="Z187" s="35">
        <f t="shared" ref="Z187:Z190" si="628">IF(T187&gt;0,Y187*X187,"")</f>
        <v>0.81292301275234269</v>
      </c>
      <c r="AA187" s="35">
        <f t="shared" ref="AA187:AA190" si="629">IF(T187&gt;0,250*U187*J187,"")</f>
        <v>0.24456249999999982</v>
      </c>
      <c r="AB187" s="46" t="str">
        <f t="shared" ref="AB187:AB190" si="630">IF(T187&gt;0,IF(W187&lt;=$B$13,"OK","No Cumple"),"")</f>
        <v>OK</v>
      </c>
      <c r="AC187" s="46" t="str">
        <f t="shared" ref="AC187:AC190" si="631">IF(T187&gt;0,IF(Z187&gt;=$B$12,"OK","No Cumple"),"")</f>
        <v>OK</v>
      </c>
      <c r="AD187" s="46" t="str">
        <f t="shared" ref="AD187:AD190" si="632">IF(T187&gt;0,IF(AA187&gt;$B$14,"OK","No Cumple"),"")</f>
        <v>OK</v>
      </c>
      <c r="AE187" s="48">
        <f t="shared" ref="AE187:AE190" si="633">+IF(AB187="OK",1,0)</f>
        <v>1</v>
      </c>
      <c r="AF187" s="48">
        <f t="shared" ref="AF187:AF190" si="634">+IF(AC187="OK",1,0)</f>
        <v>1</v>
      </c>
      <c r="AG187" s="48">
        <f t="shared" ref="AG187:AG190" si="635">+IF(AD187="OK",1,0)</f>
        <v>1</v>
      </c>
      <c r="AH187" s="48">
        <f t="shared" ref="AH187:AH190" si="636">SUM(AE187:AG187)</f>
        <v>3</v>
      </c>
      <c r="AI187" s="46">
        <f t="shared" ref="AI187:AI190" si="637">IF(AH187=3,2*$B$7+U187,0)</f>
        <v>0.68199999999999994</v>
      </c>
      <c r="AJ187" s="20">
        <f>IF(AI187&gt;0,I187*VLOOKUP(T187,'$ alcantarillado'!$I$6:$K$22,3),0)</f>
        <v>2654586.666666667</v>
      </c>
      <c r="AK187" s="20">
        <f t="shared" si="580"/>
        <v>3754491.8400000036</v>
      </c>
      <c r="AL187" s="20">
        <f t="shared" si="581"/>
        <v>1662590.7420000019</v>
      </c>
      <c r="AM187" s="20">
        <f t="shared" si="596"/>
        <v>8071669.248666672</v>
      </c>
      <c r="AN187" s="80">
        <f>+AP156</f>
        <v>5189211.7783333398</v>
      </c>
      <c r="AO187" s="78">
        <f t="shared" ref="AO187:AO190" si="638">IF((AM187)&gt;0,IF(AN187&gt;0,AM187+AN187,""),"")</f>
        <v>13260881.027000012</v>
      </c>
      <c r="AP187" s="214"/>
      <c r="AQ187" s="2"/>
      <c r="AR187" s="9"/>
    </row>
    <row r="188" spans="1:44" x14ac:dyDescent="0.25">
      <c r="A188" s="211"/>
      <c r="B188" s="211"/>
      <c r="C188" s="211"/>
      <c r="D188" s="211"/>
      <c r="E188" s="56">
        <v>3</v>
      </c>
      <c r="F188" s="2">
        <f>+H161</f>
        <v>46.32</v>
      </c>
      <c r="G188" s="56">
        <v>3</v>
      </c>
      <c r="H188" s="2">
        <f t="shared" ref="H188:H189" si="639">+H187</f>
        <v>46.39</v>
      </c>
      <c r="I188" s="2">
        <f t="shared" ref="I188" si="640">+I187</f>
        <v>80</v>
      </c>
      <c r="J188" s="18">
        <f t="shared" si="582"/>
        <v>-8.750000000000036E-4</v>
      </c>
      <c r="K188" s="2">
        <f t="shared" ref="K188:K189" si="641">+K187</f>
        <v>948</v>
      </c>
      <c r="L188" s="15">
        <f t="shared" si="583"/>
        <v>13.275700000000001</v>
      </c>
      <c r="M188" s="33">
        <f t="shared" si="626"/>
        <v>1.32757E-2</v>
      </c>
      <c r="N188" s="33">
        <f t="shared" si="474"/>
        <v>0</v>
      </c>
      <c r="O188" s="33">
        <f t="shared" si="619"/>
        <v>0</v>
      </c>
      <c r="P188" s="58">
        <f t="shared" si="476"/>
        <v>0</v>
      </c>
      <c r="Q188" s="55" t="str">
        <f>IF(O188&gt;0,VLOOKUP(P188,'$ alcantarillado'!$I$5:$L$22,4,FALSE),"0")</f>
        <v>0</v>
      </c>
      <c r="R188" s="55" t="str">
        <f t="shared" si="620"/>
        <v/>
      </c>
      <c r="S188" s="35">
        <f t="shared" si="621"/>
        <v>0</v>
      </c>
      <c r="T188" s="58">
        <f>+IF(S188&gt;$B$13,VLOOKUP(P188,'$ alcantarillado'!$I$6:$N$22,5),P188)</f>
        <v>0</v>
      </c>
      <c r="U188" s="55" t="str">
        <f>IF(O188&gt;0,VLOOKUP(T188,'$ alcantarillado'!$I$5:$L$22,4),"0")</f>
        <v>0</v>
      </c>
      <c r="V188" s="55" t="str">
        <f t="shared" si="479"/>
        <v/>
      </c>
      <c r="W188" s="35">
        <f t="shared" si="622"/>
        <v>0</v>
      </c>
      <c r="X188" s="35" t="str">
        <f t="shared" si="627"/>
        <v/>
      </c>
      <c r="Y188" s="55" t="str">
        <f>IF(T188&gt;0,(VLOOKUP($W188,Relaciones!$A$4:$D$108,2)),"")</f>
        <v/>
      </c>
      <c r="Z188" s="35" t="str">
        <f t="shared" si="628"/>
        <v/>
      </c>
      <c r="AA188" s="35" t="str">
        <f t="shared" si="629"/>
        <v/>
      </c>
      <c r="AB188" s="46" t="str">
        <f t="shared" si="630"/>
        <v/>
      </c>
      <c r="AC188" s="46" t="str">
        <f t="shared" si="631"/>
        <v/>
      </c>
      <c r="AD188" s="46" t="str">
        <f t="shared" si="632"/>
        <v/>
      </c>
      <c r="AE188" s="48">
        <f t="shared" si="633"/>
        <v>0</v>
      </c>
      <c r="AF188" s="48">
        <f t="shared" si="634"/>
        <v>0</v>
      </c>
      <c r="AG188" s="48">
        <f t="shared" si="635"/>
        <v>0</v>
      </c>
      <c r="AH188" s="48">
        <f t="shared" si="636"/>
        <v>0</v>
      </c>
      <c r="AI188" s="46">
        <f t="shared" si="637"/>
        <v>0</v>
      </c>
      <c r="AJ188" s="20">
        <f>IF(AI188&gt;0,I188*VLOOKUP(T188,'$ alcantarillado'!$I$6:$K$22,3),0)</f>
        <v>0</v>
      </c>
      <c r="AK188" s="20">
        <f t="shared" si="580"/>
        <v>0</v>
      </c>
      <c r="AL188" s="20">
        <f t="shared" si="581"/>
        <v>0</v>
      </c>
      <c r="AM188" s="20">
        <f t="shared" si="596"/>
        <v>0</v>
      </c>
      <c r="AN188" s="80">
        <f>+AP161</f>
        <v>5421411.7783333398</v>
      </c>
      <c r="AO188" s="78" t="str">
        <f t="shared" si="638"/>
        <v/>
      </c>
      <c r="AP188" s="215"/>
      <c r="AQ188" s="2">
        <v>1</v>
      </c>
      <c r="AR188" s="9">
        <v>3</v>
      </c>
    </row>
    <row r="189" spans="1:44" x14ac:dyDescent="0.25">
      <c r="A189" s="211"/>
      <c r="B189" s="211"/>
      <c r="C189" s="211"/>
      <c r="D189" s="211"/>
      <c r="E189" s="56">
        <v>4</v>
      </c>
      <c r="F189" s="2">
        <f>+H166</f>
        <v>45.82</v>
      </c>
      <c r="G189" s="56">
        <v>3</v>
      </c>
      <c r="H189" s="2">
        <f t="shared" si="639"/>
        <v>46.39</v>
      </c>
      <c r="I189" s="2">
        <f t="shared" ref="I189" si="642">+I188</f>
        <v>80</v>
      </c>
      <c r="J189" s="18">
        <f>+(F189-H189)/I189</f>
        <v>-7.1250000000000037E-3</v>
      </c>
      <c r="K189" s="2">
        <f t="shared" si="641"/>
        <v>948</v>
      </c>
      <c r="L189" s="15">
        <f t="shared" si="583"/>
        <v>13.275700000000001</v>
      </c>
      <c r="M189" s="33">
        <f t="shared" si="626"/>
        <v>1.32757E-2</v>
      </c>
      <c r="N189" s="33">
        <f t="shared" si="474"/>
        <v>0</v>
      </c>
      <c r="O189" s="33">
        <f t="shared" si="619"/>
        <v>0</v>
      </c>
      <c r="P189" s="58">
        <f t="shared" si="476"/>
        <v>0</v>
      </c>
      <c r="Q189" s="55" t="str">
        <f>IF(O189&gt;0,VLOOKUP(P189,'$ alcantarillado'!$I$5:$L$22,4,FALSE),"0")</f>
        <v>0</v>
      </c>
      <c r="R189" s="55" t="str">
        <f t="shared" si="620"/>
        <v/>
      </c>
      <c r="S189" s="35">
        <f t="shared" si="621"/>
        <v>0</v>
      </c>
      <c r="T189" s="58">
        <f>+IF(S189&gt;$B$13,VLOOKUP(P189,'$ alcantarillado'!$I$6:$N$22,5),P189)</f>
        <v>0</v>
      </c>
      <c r="U189" s="55" t="str">
        <f>IF(O189&gt;0,VLOOKUP(T189,'$ alcantarillado'!$I$5:$L$22,4),"0")</f>
        <v>0</v>
      </c>
      <c r="V189" s="55" t="str">
        <f t="shared" si="479"/>
        <v/>
      </c>
      <c r="W189" s="35">
        <f t="shared" si="622"/>
        <v>0</v>
      </c>
      <c r="X189" s="35" t="str">
        <f t="shared" si="627"/>
        <v/>
      </c>
      <c r="Y189" s="55" t="str">
        <f>IF(T189&gt;0,(VLOOKUP($W189,Relaciones!$A$4:$D$108,2)),"")</f>
        <v/>
      </c>
      <c r="Z189" s="35" t="str">
        <f t="shared" si="628"/>
        <v/>
      </c>
      <c r="AA189" s="35" t="str">
        <f t="shared" si="629"/>
        <v/>
      </c>
      <c r="AB189" s="46" t="str">
        <f t="shared" si="630"/>
        <v/>
      </c>
      <c r="AC189" s="46" t="str">
        <f t="shared" si="631"/>
        <v/>
      </c>
      <c r="AD189" s="46" t="str">
        <f t="shared" si="632"/>
        <v/>
      </c>
      <c r="AE189" s="48">
        <f t="shared" si="633"/>
        <v>0</v>
      </c>
      <c r="AF189" s="48">
        <f t="shared" si="634"/>
        <v>0</v>
      </c>
      <c r="AG189" s="48">
        <f t="shared" si="635"/>
        <v>0</v>
      </c>
      <c r="AH189" s="48">
        <f t="shared" si="636"/>
        <v>0</v>
      </c>
      <c r="AI189" s="46">
        <f t="shared" si="637"/>
        <v>0</v>
      </c>
      <c r="AJ189" s="20">
        <f>IF(AI189&gt;0,I189*VLOOKUP(T189,'$ alcantarillado'!$I$6:$K$22,3),0)</f>
        <v>0</v>
      </c>
      <c r="AK189" s="20">
        <f t="shared" si="580"/>
        <v>0</v>
      </c>
      <c r="AL189" s="20">
        <f t="shared" si="581"/>
        <v>0</v>
      </c>
      <c r="AM189" s="20">
        <f t="shared" si="596"/>
        <v>0</v>
      </c>
      <c r="AN189" s="80">
        <f>+AP166</f>
        <v>5653611.7783333398</v>
      </c>
      <c r="AO189" s="78" t="str">
        <f t="shared" si="638"/>
        <v/>
      </c>
      <c r="AP189" s="215"/>
      <c r="AQ189" s="2"/>
      <c r="AR189" s="9"/>
    </row>
    <row r="190" spans="1:44" ht="15.75" thickBot="1" x14ac:dyDescent="0.3">
      <c r="A190" s="211"/>
      <c r="B190" s="211"/>
      <c r="C190" s="211"/>
      <c r="D190" s="211"/>
      <c r="E190" s="6">
        <v>5</v>
      </c>
      <c r="F190" s="16">
        <f>+H171</f>
        <v>45.32</v>
      </c>
      <c r="G190" s="6">
        <v>3</v>
      </c>
      <c r="H190" s="10">
        <f>+H189</f>
        <v>46.39</v>
      </c>
      <c r="I190" s="10">
        <f>+I189</f>
        <v>80</v>
      </c>
      <c r="J190" s="19">
        <f t="shared" si="582"/>
        <v>-1.3375000000000003E-2</v>
      </c>
      <c r="K190" s="10">
        <f>+K189</f>
        <v>948</v>
      </c>
      <c r="L190" s="16">
        <f t="shared" si="583"/>
        <v>13.275700000000001</v>
      </c>
      <c r="M190" s="34">
        <f t="shared" si="626"/>
        <v>1.32757E-2</v>
      </c>
      <c r="N190" s="34">
        <f t="shared" si="474"/>
        <v>0</v>
      </c>
      <c r="O190" s="34">
        <f t="shared" si="619"/>
        <v>0</v>
      </c>
      <c r="P190" s="59">
        <f t="shared" si="476"/>
        <v>0</v>
      </c>
      <c r="Q190" s="55" t="str">
        <f>IF(O190&gt;0,VLOOKUP(P190,'$ alcantarillado'!$I$5:$L$22,4,FALSE),"0")</f>
        <v>0</v>
      </c>
      <c r="R190" s="47" t="str">
        <f t="shared" si="620"/>
        <v/>
      </c>
      <c r="S190" s="35">
        <f t="shared" si="621"/>
        <v>0</v>
      </c>
      <c r="T190" s="58">
        <f>+IF(S190&gt;$B$13,VLOOKUP(P190,'$ alcantarillado'!$I$6:$N$22,5),P190)</f>
        <v>0</v>
      </c>
      <c r="U190" s="55" t="str">
        <f>IF(O190&gt;0,VLOOKUP(T190,'$ alcantarillado'!$I$5:$L$22,4),"0")</f>
        <v>0</v>
      </c>
      <c r="V190" s="55" t="str">
        <f t="shared" si="479"/>
        <v/>
      </c>
      <c r="W190" s="35">
        <f t="shared" si="622"/>
        <v>0</v>
      </c>
      <c r="X190" s="35" t="str">
        <f t="shared" si="627"/>
        <v/>
      </c>
      <c r="Y190" s="55" t="str">
        <f>IF(T190&gt;0,(VLOOKUP($W190,Relaciones!$A$4:$D$108,2)),"")</f>
        <v/>
      </c>
      <c r="Z190" s="35" t="str">
        <f t="shared" si="628"/>
        <v/>
      </c>
      <c r="AA190" s="35" t="str">
        <f t="shared" si="629"/>
        <v/>
      </c>
      <c r="AB190" s="46" t="str">
        <f t="shared" si="630"/>
        <v/>
      </c>
      <c r="AC190" s="46" t="str">
        <f t="shared" si="631"/>
        <v/>
      </c>
      <c r="AD190" s="46" t="str">
        <f t="shared" si="632"/>
        <v/>
      </c>
      <c r="AE190" s="48">
        <f t="shared" si="633"/>
        <v>0</v>
      </c>
      <c r="AF190" s="48">
        <f t="shared" si="634"/>
        <v>0</v>
      </c>
      <c r="AG190" s="48">
        <f t="shared" si="635"/>
        <v>0</v>
      </c>
      <c r="AH190" s="48">
        <f t="shared" si="636"/>
        <v>0</v>
      </c>
      <c r="AI190" s="46">
        <f t="shared" si="637"/>
        <v>0</v>
      </c>
      <c r="AJ190" s="22">
        <f>IF(AI190&gt;0,I190*VLOOKUP(T190,'$ alcantarillado'!$I$6:$K$22,3),0)</f>
        <v>0</v>
      </c>
      <c r="AK190" s="20">
        <f t="shared" si="580"/>
        <v>0</v>
      </c>
      <c r="AL190" s="20">
        <f t="shared" si="581"/>
        <v>0</v>
      </c>
      <c r="AM190" s="22">
        <f t="shared" si="596"/>
        <v>0</v>
      </c>
      <c r="AN190" s="82">
        <f>+AP171</f>
        <v>5885811.7783333398</v>
      </c>
      <c r="AO190" s="79" t="str">
        <f t="shared" si="638"/>
        <v/>
      </c>
      <c r="AP190" s="216"/>
      <c r="AQ190" s="10"/>
      <c r="AR190" s="11"/>
    </row>
    <row r="191" spans="1:44" x14ac:dyDescent="0.25">
      <c r="A191" s="211"/>
      <c r="B191" s="211"/>
      <c r="C191" s="211"/>
      <c r="D191" s="211"/>
      <c r="E191" s="4">
        <v>1</v>
      </c>
      <c r="F191" s="7">
        <f>+H151</f>
        <v>47.32</v>
      </c>
      <c r="G191" s="4">
        <v>4</v>
      </c>
      <c r="H191" s="7">
        <f>+H186-$B$4</f>
        <v>45.89</v>
      </c>
      <c r="I191" s="12">
        <f>+I186</f>
        <v>80</v>
      </c>
      <c r="J191" s="18">
        <f>+(F191-H191)/I191</f>
        <v>1.7874999999999995E-2</v>
      </c>
      <c r="K191" s="12">
        <f>+K186</f>
        <v>948</v>
      </c>
      <c r="L191" s="14">
        <f>IF(K191&lt;38,K191^0.3686*0.7401,IF(K191&lt;235,K191^0.4193*0.6215,IF(K191&lt;932,K191*0.0092+4.2493,K191*0.0069+6.7345)))</f>
        <v>13.275700000000001</v>
      </c>
      <c r="M191" s="31">
        <f>+L191/1000</f>
        <v>1.32757E-2</v>
      </c>
      <c r="N191" s="31">
        <f t="shared" si="474"/>
        <v>0.11579950262260208</v>
      </c>
      <c r="O191" s="31">
        <f t="shared" si="619"/>
        <v>4.5590355363229165</v>
      </c>
      <c r="P191" s="57">
        <f t="shared" si="476"/>
        <v>6</v>
      </c>
      <c r="Q191" s="60">
        <f>IF(O191&gt;0,VLOOKUP(P191,'$ alcantarillado'!$I$5:$L$22,4,FALSE),"0")</f>
        <v>0.14499999999999999</v>
      </c>
      <c r="R191" s="60">
        <f t="shared" si="620"/>
        <v>2.4181742096376767E-2</v>
      </c>
      <c r="S191" s="27">
        <f t="shared" si="621"/>
        <v>0.54899684014036121</v>
      </c>
      <c r="T191" s="57">
        <f>+IF(S191&gt;$B$13,VLOOKUP(P191,'$ alcantarillado'!$I$6:$N$22,5),P191)</f>
        <v>6</v>
      </c>
      <c r="U191" s="60">
        <f>IF(O191&gt;0,VLOOKUP(T191,'$ alcantarillado'!$I$5:$L$22,4),"0")</f>
        <v>0.14499999999999999</v>
      </c>
      <c r="V191" s="60">
        <f t="shared" si="479"/>
        <v>2.4181742096376767E-2</v>
      </c>
      <c r="W191" s="27">
        <f t="shared" si="622"/>
        <v>0.54899684014036121</v>
      </c>
      <c r="X191" s="27">
        <f>IF(T191&gt;0,4*V191/(PI()*(U191)^2),"")</f>
        <v>1.4644066728986387</v>
      </c>
      <c r="Y191" s="60">
        <f>IF(T191&gt;0,(VLOOKUP($W191,Relaciones!$A$4:$D$108,2)),"")</f>
        <v>0.87</v>
      </c>
      <c r="Z191" s="27">
        <f>IF(T191&gt;0,Y191*X191,"")</f>
        <v>1.2740338054218157</v>
      </c>
      <c r="AA191" s="27">
        <f>IF(T191&gt;0,250*U191*J191,"")</f>
        <v>0.64796874999999987</v>
      </c>
      <c r="AB191" s="45" t="str">
        <f>IF(T191&gt;0,IF(W191&lt;=$B$13,"OK","No Cumple"),"")</f>
        <v>OK</v>
      </c>
      <c r="AC191" s="45" t="str">
        <f>IF(T191&gt;0,IF(Z191&gt;=$B$12,"OK","No Cumple"),"")</f>
        <v>OK</v>
      </c>
      <c r="AD191" s="45" t="str">
        <f>IF(T191&gt;0,IF(AA191&gt;$B$14,"OK","No Cumple"),"")</f>
        <v>OK</v>
      </c>
      <c r="AE191" s="32">
        <f>+IF(AB191="OK",1,0)</f>
        <v>1</v>
      </c>
      <c r="AF191" s="32">
        <f>+IF(AC191="OK",1,0)</f>
        <v>1</v>
      </c>
      <c r="AG191" s="32">
        <f>+IF(AD191="OK",1,0)</f>
        <v>1</v>
      </c>
      <c r="AH191" s="32">
        <f>SUM(AE191:AG191)</f>
        <v>3</v>
      </c>
      <c r="AI191" s="45">
        <f>IF(AH191=3,2*$B$7+U191,0)</f>
        <v>0.64500000000000002</v>
      </c>
      <c r="AJ191" s="21">
        <f>IF(AI191&gt;0,I191*VLOOKUP(T191,'$ alcantarillado'!$I$6:$K$22,3),0)</f>
        <v>1912173.3333333335</v>
      </c>
      <c r="AK191" s="61">
        <f t="shared" si="580"/>
        <v>3267054.0000000037</v>
      </c>
      <c r="AL191" s="61">
        <f t="shared" si="581"/>
        <v>1287774.9450000019</v>
      </c>
      <c r="AM191" s="21">
        <f>IF(AJ191&gt;0,AJ191+AK191+AL191,0)</f>
        <v>6467002.2783333398</v>
      </c>
      <c r="AN191" s="81">
        <f>IF(AP151&gt;0,+AP151,0)</f>
        <v>5900568.248666672</v>
      </c>
      <c r="AO191" s="77">
        <f>IF((AM191)&gt;0,IF(AN191&gt;0,AM191+AN191,""),"")</f>
        <v>12367570.527000012</v>
      </c>
      <c r="AP191" s="213">
        <f>+MIN(AO191:AO195)</f>
        <v>12367570.527000012</v>
      </c>
      <c r="AQ191" s="7"/>
      <c r="AR191" s="8"/>
    </row>
    <row r="192" spans="1:44" x14ac:dyDescent="0.25">
      <c r="A192" s="211"/>
      <c r="B192" s="211"/>
      <c r="C192" s="211"/>
      <c r="D192" s="211"/>
      <c r="E192" s="5">
        <v>2</v>
      </c>
      <c r="F192" s="2">
        <f>+H156</f>
        <v>46.82</v>
      </c>
      <c r="G192" s="5">
        <v>4</v>
      </c>
      <c r="H192" s="2">
        <f>+H191</f>
        <v>45.89</v>
      </c>
      <c r="I192" s="2">
        <f>+I191</f>
        <v>80</v>
      </c>
      <c r="J192" s="18">
        <f t="shared" si="582"/>
        <v>1.1624999999999996E-2</v>
      </c>
      <c r="K192" s="2">
        <f>+K191</f>
        <v>948</v>
      </c>
      <c r="L192" s="15">
        <f t="shared" si="583"/>
        <v>13.275700000000001</v>
      </c>
      <c r="M192" s="33">
        <f t="shared" ref="M192:M195" si="643">+L192/1000</f>
        <v>1.32757E-2</v>
      </c>
      <c r="N192" s="33">
        <f t="shared" si="474"/>
        <v>0.1255283002556522</v>
      </c>
      <c r="O192" s="33">
        <f t="shared" si="619"/>
        <v>4.942059065183158</v>
      </c>
      <c r="P192" s="58">
        <f t="shared" si="476"/>
        <v>6</v>
      </c>
      <c r="Q192" s="55">
        <f>IF(O192&gt;0,VLOOKUP(P192,'$ alcantarillado'!$I$5:$L$22,4,FALSE),"0")</f>
        <v>0.14499999999999999</v>
      </c>
      <c r="R192" s="55">
        <f t="shared" si="620"/>
        <v>1.9501186717674649E-2</v>
      </c>
      <c r="S192" s="35">
        <f t="shared" si="621"/>
        <v>0.68076369875315024</v>
      </c>
      <c r="T192" s="58">
        <f>+IF(S192&gt;$B$13,VLOOKUP(P192,'$ alcantarillado'!$I$6:$N$22,5),P192)</f>
        <v>6</v>
      </c>
      <c r="U192" s="55">
        <f>IF(O192&gt;0,VLOOKUP(T192,'$ alcantarillado'!$I$5:$L$22,4),"0")</f>
        <v>0.14499999999999999</v>
      </c>
      <c r="V192" s="55">
        <f t="shared" si="479"/>
        <v>1.9501186717674649E-2</v>
      </c>
      <c r="W192" s="35">
        <f t="shared" si="622"/>
        <v>0.68076369875315024</v>
      </c>
      <c r="X192" s="35">
        <f t="shared" ref="X192:X195" si="644">IF(T192&gt;0,4*V192/(PI()*(U192)^2),"")</f>
        <v>1.1809599095461343</v>
      </c>
      <c r="Y192" s="55">
        <f>IF(T192&gt;0,(VLOOKUP($W192,Relaciones!$A$4:$D$108,2)),"")</f>
        <v>0.93600000000000005</v>
      </c>
      <c r="Z192" s="35">
        <f t="shared" ref="Z192:Z195" si="645">IF(T192&gt;0,Y192*X192,"")</f>
        <v>1.1053784753351819</v>
      </c>
      <c r="AA192" s="35">
        <f t="shared" ref="AA192:AA195" si="646">IF(T192&gt;0,250*U192*J192,"")</f>
        <v>0.42140624999999987</v>
      </c>
      <c r="AB192" s="46" t="str">
        <f t="shared" ref="AB192:AB195" si="647">IF(T192&gt;0,IF(W192&lt;=$B$13,"OK","No Cumple"),"")</f>
        <v>OK</v>
      </c>
      <c r="AC192" s="46" t="str">
        <f t="shared" ref="AC192:AC195" si="648">IF(T192&gt;0,IF(Z192&gt;=$B$12,"OK","No Cumple"),"")</f>
        <v>OK</v>
      </c>
      <c r="AD192" s="46" t="str">
        <f t="shared" ref="AD192:AD195" si="649">IF(T192&gt;0,IF(AA192&gt;$B$14,"OK","No Cumple"),"")</f>
        <v>OK</v>
      </c>
      <c r="AE192" s="48">
        <f t="shared" ref="AE192:AE195" si="650">+IF(AB192="OK",1,0)</f>
        <v>1</v>
      </c>
      <c r="AF192" s="48">
        <f t="shared" ref="AF192:AF195" si="651">+IF(AC192="OK",1,0)</f>
        <v>1</v>
      </c>
      <c r="AG192" s="48">
        <f t="shared" ref="AG192:AG195" si="652">+IF(AD192="OK",1,0)</f>
        <v>1</v>
      </c>
      <c r="AH192" s="48">
        <f t="shared" ref="AH192:AH195" si="653">SUM(AE192:AG192)</f>
        <v>3</v>
      </c>
      <c r="AI192" s="46">
        <f t="shared" ref="AI192:AI195" si="654">IF(AH192=3,2*$B$7+U192,0)</f>
        <v>0.64500000000000002</v>
      </c>
      <c r="AJ192" s="20">
        <f>IF(AI192&gt;0,I192*VLOOKUP(T192,'$ alcantarillado'!$I$6:$K$22,3),0)</f>
        <v>1912173.3333333335</v>
      </c>
      <c r="AK192" s="20">
        <f t="shared" si="580"/>
        <v>3731454.0000000047</v>
      </c>
      <c r="AL192" s="20">
        <f t="shared" si="581"/>
        <v>1636765.4450000019</v>
      </c>
      <c r="AM192" s="20">
        <f t="shared" si="596"/>
        <v>7280392.7783333398</v>
      </c>
      <c r="AN192" s="80">
        <f>+AP156</f>
        <v>5189211.7783333398</v>
      </c>
      <c r="AO192" s="78">
        <f t="shared" ref="AO192:AO195" si="655">IF((AM192)&gt;0,IF(AN192&gt;0,AM192+AN192,""),"")</f>
        <v>12469604.55666668</v>
      </c>
      <c r="AP192" s="214"/>
      <c r="AQ192" s="2"/>
      <c r="AR192" s="9"/>
    </row>
    <row r="193" spans="1:44" x14ac:dyDescent="0.25">
      <c r="A193" s="211"/>
      <c r="B193" s="211"/>
      <c r="C193" s="211"/>
      <c r="D193" s="211"/>
      <c r="E193" s="56">
        <v>3</v>
      </c>
      <c r="F193" s="2">
        <f>+H161</f>
        <v>46.32</v>
      </c>
      <c r="G193" s="56">
        <v>4</v>
      </c>
      <c r="H193" s="2">
        <f t="shared" ref="H193:H194" si="656">+H192</f>
        <v>45.89</v>
      </c>
      <c r="I193" s="2">
        <f t="shared" ref="I193" si="657">+I192</f>
        <v>80</v>
      </c>
      <c r="J193" s="18">
        <f t="shared" si="582"/>
        <v>5.3749999999999961E-3</v>
      </c>
      <c r="K193" s="2">
        <f t="shared" ref="K193:K194" si="658">+K192</f>
        <v>948</v>
      </c>
      <c r="L193" s="15">
        <f t="shared" si="583"/>
        <v>13.275700000000001</v>
      </c>
      <c r="M193" s="33">
        <f t="shared" si="643"/>
        <v>1.32757E-2</v>
      </c>
      <c r="N193" s="33">
        <f t="shared" si="474"/>
        <v>0.1450630704499157</v>
      </c>
      <c r="O193" s="33">
        <f t="shared" si="619"/>
        <v>5.711144505902193</v>
      </c>
      <c r="P193" s="58">
        <f t="shared" si="476"/>
        <v>6</v>
      </c>
      <c r="Q193" s="55">
        <f>IF(O193&gt;0,VLOOKUP(P193,'$ alcantarillado'!$I$5:$L$22,4,FALSE),"0")</f>
        <v>0.14499999999999999</v>
      </c>
      <c r="R193" s="55">
        <f t="shared" si="620"/>
        <v>1.3260313570181519E-2</v>
      </c>
      <c r="S193" s="35">
        <f t="shared" si="621"/>
        <v>1.0011603368002608</v>
      </c>
      <c r="T193" s="58">
        <f>+IF(S193&gt;$B$13,VLOOKUP(P193,'$ alcantarillado'!$I$6:$N$22,5),P193)</f>
        <v>8</v>
      </c>
      <c r="U193" s="55">
        <f>IF(O193&gt;0,VLOOKUP(T193,'$ alcantarillado'!$I$5:$L$22,4),"0")</f>
        <v>0.182</v>
      </c>
      <c r="V193" s="55">
        <f t="shared" si="479"/>
        <v>2.4308760944232927E-2</v>
      </c>
      <c r="W193" s="35">
        <f t="shared" si="622"/>
        <v>0.54612820581254518</v>
      </c>
      <c r="X193" s="35">
        <f t="shared" si="644"/>
        <v>0.9343942675314284</v>
      </c>
      <c r="Y193" s="55">
        <f>IF(T193&gt;0,(VLOOKUP($W193,Relaciones!$A$4:$D$108,2)),"")</f>
        <v>0.87</v>
      </c>
      <c r="Z193" s="35">
        <f t="shared" si="645"/>
        <v>0.81292301275234269</v>
      </c>
      <c r="AA193" s="35">
        <f t="shared" si="646"/>
        <v>0.24456249999999982</v>
      </c>
      <c r="AB193" s="46" t="str">
        <f t="shared" si="647"/>
        <v>OK</v>
      </c>
      <c r="AC193" s="46" t="str">
        <f t="shared" si="648"/>
        <v>OK</v>
      </c>
      <c r="AD193" s="46" t="str">
        <f t="shared" si="649"/>
        <v>OK</v>
      </c>
      <c r="AE193" s="48">
        <f t="shared" si="650"/>
        <v>1</v>
      </c>
      <c r="AF193" s="48">
        <f t="shared" si="651"/>
        <v>1</v>
      </c>
      <c r="AG193" s="48">
        <f t="shared" si="652"/>
        <v>1</v>
      </c>
      <c r="AH193" s="48">
        <f t="shared" si="653"/>
        <v>3</v>
      </c>
      <c r="AI193" s="46">
        <f t="shared" si="654"/>
        <v>0.68199999999999994</v>
      </c>
      <c r="AJ193" s="20">
        <f>IF(AI193&gt;0,I193*VLOOKUP(T193,'$ alcantarillado'!$I$6:$K$22,3),0)</f>
        <v>2654586.666666667</v>
      </c>
      <c r="AK193" s="20">
        <f t="shared" si="580"/>
        <v>4491051.8400000036</v>
      </c>
      <c r="AL193" s="20">
        <f t="shared" si="581"/>
        <v>2011581.2420000019</v>
      </c>
      <c r="AM193" s="20">
        <f t="shared" si="596"/>
        <v>9157219.748666672</v>
      </c>
      <c r="AN193" s="80">
        <f>+AP161</f>
        <v>5421411.7783333398</v>
      </c>
      <c r="AO193" s="78">
        <f t="shared" si="655"/>
        <v>14578631.527000012</v>
      </c>
      <c r="AP193" s="215"/>
      <c r="AQ193" s="2">
        <v>1</v>
      </c>
      <c r="AR193" s="9">
        <v>4</v>
      </c>
    </row>
    <row r="194" spans="1:44" x14ac:dyDescent="0.25">
      <c r="A194" s="211"/>
      <c r="B194" s="211"/>
      <c r="C194" s="211"/>
      <c r="D194" s="211"/>
      <c r="E194" s="56">
        <v>4</v>
      </c>
      <c r="F194" s="2">
        <f>+H166</f>
        <v>45.82</v>
      </c>
      <c r="G194" s="56">
        <v>4</v>
      </c>
      <c r="H194" s="2">
        <f t="shared" si="656"/>
        <v>45.89</v>
      </c>
      <c r="I194" s="2">
        <f t="shared" ref="I194" si="659">+I193</f>
        <v>80</v>
      </c>
      <c r="J194" s="18">
        <f>+(F194-H194)/I194</f>
        <v>-8.750000000000036E-4</v>
      </c>
      <c r="K194" s="2">
        <f t="shared" si="658"/>
        <v>948</v>
      </c>
      <c r="L194" s="15">
        <f t="shared" si="583"/>
        <v>13.275700000000001</v>
      </c>
      <c r="M194" s="33">
        <f t="shared" si="643"/>
        <v>1.32757E-2</v>
      </c>
      <c r="N194" s="33">
        <f t="shared" si="474"/>
        <v>0</v>
      </c>
      <c r="O194" s="33">
        <f t="shared" si="619"/>
        <v>0</v>
      </c>
      <c r="P194" s="58">
        <f t="shared" si="476"/>
        <v>0</v>
      </c>
      <c r="Q194" s="55" t="str">
        <f>IF(O194&gt;0,VLOOKUP(P194,'$ alcantarillado'!$I$5:$L$22,4,FALSE),"0")</f>
        <v>0</v>
      </c>
      <c r="R194" s="55" t="str">
        <f t="shared" si="620"/>
        <v/>
      </c>
      <c r="S194" s="35">
        <f t="shared" si="621"/>
        <v>0</v>
      </c>
      <c r="T194" s="58">
        <f>+IF(S194&gt;$B$13,VLOOKUP(P194,'$ alcantarillado'!$I$6:$N$22,5),P194)</f>
        <v>0</v>
      </c>
      <c r="U194" s="55" t="str">
        <f>IF(O194&gt;0,VLOOKUP(T194,'$ alcantarillado'!$I$5:$L$22,4),"0")</f>
        <v>0</v>
      </c>
      <c r="V194" s="55" t="str">
        <f t="shared" si="479"/>
        <v/>
      </c>
      <c r="W194" s="35">
        <f t="shared" si="622"/>
        <v>0</v>
      </c>
      <c r="X194" s="35" t="str">
        <f t="shared" si="644"/>
        <v/>
      </c>
      <c r="Y194" s="55" t="str">
        <f>IF(T194&gt;0,(VLOOKUP($W194,Relaciones!$A$4:$D$108,2)),"")</f>
        <v/>
      </c>
      <c r="Z194" s="35" t="str">
        <f t="shared" si="645"/>
        <v/>
      </c>
      <c r="AA194" s="35" t="str">
        <f t="shared" si="646"/>
        <v/>
      </c>
      <c r="AB194" s="46" t="str">
        <f t="shared" si="647"/>
        <v/>
      </c>
      <c r="AC194" s="46" t="str">
        <f t="shared" si="648"/>
        <v/>
      </c>
      <c r="AD194" s="46" t="str">
        <f t="shared" si="649"/>
        <v/>
      </c>
      <c r="AE194" s="48">
        <f t="shared" si="650"/>
        <v>0</v>
      </c>
      <c r="AF194" s="48">
        <f t="shared" si="651"/>
        <v>0</v>
      </c>
      <c r="AG194" s="48">
        <f t="shared" si="652"/>
        <v>0</v>
      </c>
      <c r="AH194" s="48">
        <f t="shared" si="653"/>
        <v>0</v>
      </c>
      <c r="AI194" s="46">
        <f t="shared" si="654"/>
        <v>0</v>
      </c>
      <c r="AJ194" s="20">
        <f>IF(AI194&gt;0,I194*VLOOKUP(T194,'$ alcantarillado'!$I$6:$K$22,3),0)</f>
        <v>0</v>
      </c>
      <c r="AK194" s="20">
        <f t="shared" si="580"/>
        <v>0</v>
      </c>
      <c r="AL194" s="20">
        <f t="shared" si="581"/>
        <v>0</v>
      </c>
      <c r="AM194" s="20">
        <f t="shared" si="596"/>
        <v>0</v>
      </c>
      <c r="AN194" s="80">
        <f>+AP166</f>
        <v>5653611.7783333398</v>
      </c>
      <c r="AO194" s="78" t="str">
        <f t="shared" si="655"/>
        <v/>
      </c>
      <c r="AP194" s="215"/>
      <c r="AQ194" s="2"/>
      <c r="AR194" s="9"/>
    </row>
    <row r="195" spans="1:44" ht="15.75" thickBot="1" x14ac:dyDescent="0.3">
      <c r="A195" s="211"/>
      <c r="B195" s="211"/>
      <c r="C195" s="211"/>
      <c r="D195" s="211"/>
      <c r="E195" s="6">
        <v>5</v>
      </c>
      <c r="F195" s="16">
        <f>+H171</f>
        <v>45.32</v>
      </c>
      <c r="G195" s="6">
        <v>4</v>
      </c>
      <c r="H195" s="10">
        <f>+H194</f>
        <v>45.89</v>
      </c>
      <c r="I195" s="10">
        <f>+I194</f>
        <v>80</v>
      </c>
      <c r="J195" s="19">
        <f t="shared" si="582"/>
        <v>-7.1250000000000037E-3</v>
      </c>
      <c r="K195" s="10">
        <f>+K194</f>
        <v>948</v>
      </c>
      <c r="L195" s="16">
        <f t="shared" si="583"/>
        <v>13.275700000000001</v>
      </c>
      <c r="M195" s="34">
        <f t="shared" si="643"/>
        <v>1.32757E-2</v>
      </c>
      <c r="N195" s="34">
        <f t="shared" si="474"/>
        <v>0</v>
      </c>
      <c r="O195" s="34">
        <f t="shared" si="619"/>
        <v>0</v>
      </c>
      <c r="P195" s="59">
        <f t="shared" si="476"/>
        <v>0</v>
      </c>
      <c r="Q195" s="55" t="str">
        <f>IF(O195&gt;0,VLOOKUP(P195,'$ alcantarillado'!$I$5:$L$22,4,FALSE),"0")</f>
        <v>0</v>
      </c>
      <c r="R195" s="47" t="str">
        <f t="shared" si="620"/>
        <v/>
      </c>
      <c r="S195" s="35">
        <f t="shared" si="621"/>
        <v>0</v>
      </c>
      <c r="T195" s="58">
        <f>+IF(S195&gt;$B$13,VLOOKUP(P195,'$ alcantarillado'!$I$6:$N$22,5),P195)</f>
        <v>0</v>
      </c>
      <c r="U195" s="55" t="str">
        <f>IF(O195&gt;0,VLOOKUP(T195,'$ alcantarillado'!$I$5:$L$22,4),"0")</f>
        <v>0</v>
      </c>
      <c r="V195" s="55" t="str">
        <f t="shared" si="479"/>
        <v/>
      </c>
      <c r="W195" s="35">
        <f t="shared" si="622"/>
        <v>0</v>
      </c>
      <c r="X195" s="35" t="str">
        <f t="shared" si="644"/>
        <v/>
      </c>
      <c r="Y195" s="55" t="str">
        <f>IF(T195&gt;0,(VLOOKUP($W195,Relaciones!$A$4:$D$108,2)),"")</f>
        <v/>
      </c>
      <c r="Z195" s="35" t="str">
        <f t="shared" si="645"/>
        <v/>
      </c>
      <c r="AA195" s="35" t="str">
        <f t="shared" si="646"/>
        <v/>
      </c>
      <c r="AB195" s="46" t="str">
        <f t="shared" si="647"/>
        <v/>
      </c>
      <c r="AC195" s="46" t="str">
        <f t="shared" si="648"/>
        <v/>
      </c>
      <c r="AD195" s="46" t="str">
        <f t="shared" si="649"/>
        <v/>
      </c>
      <c r="AE195" s="48">
        <f t="shared" si="650"/>
        <v>0</v>
      </c>
      <c r="AF195" s="48">
        <f t="shared" si="651"/>
        <v>0</v>
      </c>
      <c r="AG195" s="48">
        <f t="shared" si="652"/>
        <v>0</v>
      </c>
      <c r="AH195" s="48">
        <f t="shared" si="653"/>
        <v>0</v>
      </c>
      <c r="AI195" s="46">
        <f t="shared" si="654"/>
        <v>0</v>
      </c>
      <c r="AJ195" s="22">
        <f>IF(AI195&gt;0,I195*VLOOKUP(T195,'$ alcantarillado'!$I$6:$K$22,3),0)</f>
        <v>0</v>
      </c>
      <c r="AK195" s="20">
        <f t="shared" si="580"/>
        <v>0</v>
      </c>
      <c r="AL195" s="20">
        <f t="shared" si="581"/>
        <v>0</v>
      </c>
      <c r="AM195" s="22">
        <f t="shared" si="596"/>
        <v>0</v>
      </c>
      <c r="AN195" s="82">
        <f>+AP171</f>
        <v>5885811.7783333398</v>
      </c>
      <c r="AO195" s="79" t="str">
        <f t="shared" si="655"/>
        <v/>
      </c>
      <c r="AP195" s="216"/>
      <c r="AQ195" s="10"/>
      <c r="AR195" s="11"/>
    </row>
    <row r="196" spans="1:44" x14ac:dyDescent="0.25">
      <c r="A196" s="211"/>
      <c r="B196" s="211"/>
      <c r="C196" s="211"/>
      <c r="D196" s="211"/>
      <c r="E196" s="4">
        <v>1</v>
      </c>
      <c r="F196" s="7">
        <f>+H151</f>
        <v>47.32</v>
      </c>
      <c r="G196" s="4">
        <v>5</v>
      </c>
      <c r="H196" s="14">
        <f>+H191-$B$4</f>
        <v>45.39</v>
      </c>
      <c r="I196" s="12">
        <f>+I191</f>
        <v>80</v>
      </c>
      <c r="J196" s="18">
        <f>+(F196-H196)/I196</f>
        <v>2.4124999999999997E-2</v>
      </c>
      <c r="K196" s="12">
        <f>+K191</f>
        <v>948</v>
      </c>
      <c r="L196" s="14">
        <f>IF(K196&lt;38,K196^0.3686*0.7401,IF(K196&lt;235,K196^0.4193*0.6215,IF(K196&lt;932,K196*0.0092+4.2493,K196*0.0069+6.7345)))</f>
        <v>13.275700000000001</v>
      </c>
      <c r="M196" s="31">
        <f>+L196/1000</f>
        <v>1.32757E-2</v>
      </c>
      <c r="N196" s="31">
        <f t="shared" si="474"/>
        <v>0.10946876175085482</v>
      </c>
      <c r="O196" s="31">
        <f t="shared" si="619"/>
        <v>4.3097937697186941</v>
      </c>
      <c r="P196" s="57">
        <f t="shared" si="476"/>
        <v>6</v>
      </c>
      <c r="Q196" s="60">
        <f>IF(O196&gt;0,VLOOKUP(P196,'$ alcantarillado'!$I$5:$L$22,4,FALSE),"0")</f>
        <v>0.14499999999999999</v>
      </c>
      <c r="R196" s="60">
        <f t="shared" si="620"/>
        <v>2.8093006571631846E-2</v>
      </c>
      <c r="S196" s="27">
        <f t="shared" si="621"/>
        <v>0.47256244952456333</v>
      </c>
      <c r="T196" s="57">
        <f>+IF(S196&gt;$B$13,VLOOKUP(P196,'$ alcantarillado'!$I$6:$N$22,5),P196)</f>
        <v>6</v>
      </c>
      <c r="U196" s="60">
        <f>IF(O196&gt;0,VLOOKUP(T196,'$ alcantarillado'!$I$5:$L$22,4),"0")</f>
        <v>0.14499999999999999</v>
      </c>
      <c r="V196" s="60">
        <f t="shared" si="479"/>
        <v>2.8093006571631846E-2</v>
      </c>
      <c r="W196" s="27">
        <f t="shared" si="622"/>
        <v>0.47256244952456333</v>
      </c>
      <c r="X196" s="27">
        <f>IF(T196&gt;0,4*V196/(PI()*(U196)^2),"")</f>
        <v>1.7012664398338393</v>
      </c>
      <c r="Y196" s="60">
        <f>IF(T196&gt;0,(VLOOKUP($W196,Relaciones!$A$4:$D$108,2)),"")</f>
        <v>0.83399999999999996</v>
      </c>
      <c r="Z196" s="27">
        <f>IF(T196&gt;0,Y196*X196,"")</f>
        <v>1.418856210821422</v>
      </c>
      <c r="AA196" s="27">
        <f>IF(T196&gt;0,250*U196*J196,"")</f>
        <v>0.87453124999999987</v>
      </c>
      <c r="AB196" s="45" t="str">
        <f>IF(T196&gt;0,IF(W196&lt;=$B$13,"OK","No Cumple"),"")</f>
        <v>OK</v>
      </c>
      <c r="AC196" s="45" t="str">
        <f>IF(T196&gt;0,IF(Z196&gt;=$B$12,"OK","No Cumple"),"")</f>
        <v>OK</v>
      </c>
      <c r="AD196" s="45" t="str">
        <f>IF(T196&gt;0,IF(AA196&gt;$B$14,"OK","No Cumple"),"")</f>
        <v>OK</v>
      </c>
      <c r="AE196" s="32">
        <f>+IF(AB196="OK",1,0)</f>
        <v>1</v>
      </c>
      <c r="AF196" s="32">
        <f>+IF(AC196="OK",1,0)</f>
        <v>1</v>
      </c>
      <c r="AG196" s="32">
        <f>+IF(AD196="OK",1,0)</f>
        <v>1</v>
      </c>
      <c r="AH196" s="32">
        <f>SUM(AE196:AG196)</f>
        <v>3</v>
      </c>
      <c r="AI196" s="45">
        <f>IF(AH196=3,2*$B$7+U196,0)</f>
        <v>0.64500000000000002</v>
      </c>
      <c r="AJ196" s="21">
        <f>IF(AI196&gt;0,I196*VLOOKUP(T196,'$ alcantarillado'!$I$6:$K$22,3),0)</f>
        <v>1912173.3333333335</v>
      </c>
      <c r="AK196" s="61">
        <f t="shared" si="580"/>
        <v>3499254.0000000047</v>
      </c>
      <c r="AL196" s="61">
        <f t="shared" si="581"/>
        <v>1287774.9450000019</v>
      </c>
      <c r="AM196" s="21">
        <f>IF(AJ196&gt;0,AJ196+AK196+AL196,0)</f>
        <v>6699202.2783333398</v>
      </c>
      <c r="AN196" s="81">
        <f>IF(AP151&gt;0,+AP151,0)</f>
        <v>5900568.248666672</v>
      </c>
      <c r="AO196" s="77">
        <f>IF((AM196)&gt;0,IF(AN196&gt;0,AM196+AN196,""),"")</f>
        <v>12599770.527000012</v>
      </c>
      <c r="AP196" s="213">
        <f>+MIN(AO196:AO200)</f>
        <v>12599770.527000012</v>
      </c>
      <c r="AQ196" s="2"/>
      <c r="AR196" s="9"/>
    </row>
    <row r="197" spans="1:44" x14ac:dyDescent="0.25">
      <c r="A197" s="211"/>
      <c r="B197" s="211"/>
      <c r="C197" s="211"/>
      <c r="D197" s="211"/>
      <c r="E197" s="5">
        <v>2</v>
      </c>
      <c r="F197" s="2">
        <f>+H156</f>
        <v>46.82</v>
      </c>
      <c r="G197" s="5">
        <v>5</v>
      </c>
      <c r="H197" s="15">
        <f>+H196</f>
        <v>45.39</v>
      </c>
      <c r="I197" s="2">
        <f>+I196</f>
        <v>80</v>
      </c>
      <c r="J197" s="18">
        <f t="shared" si="582"/>
        <v>1.7874999999999995E-2</v>
      </c>
      <c r="K197" s="2">
        <f>+K196</f>
        <v>948</v>
      </c>
      <c r="L197" s="15">
        <f t="shared" si="583"/>
        <v>13.275700000000001</v>
      </c>
      <c r="M197" s="33">
        <f t="shared" ref="M197:M200" si="660">+L197/1000</f>
        <v>1.32757E-2</v>
      </c>
      <c r="N197" s="33">
        <f t="shared" si="474"/>
        <v>0.11579950262260208</v>
      </c>
      <c r="O197" s="33">
        <f t="shared" si="619"/>
        <v>4.5590355363229165</v>
      </c>
      <c r="P197" s="58">
        <f t="shared" si="476"/>
        <v>6</v>
      </c>
      <c r="Q197" s="55">
        <f>IF(O197&gt;0,VLOOKUP(P197,'$ alcantarillado'!$I$5:$L$22,4,FALSE),"0")</f>
        <v>0.14499999999999999</v>
      </c>
      <c r="R197" s="55">
        <f t="shared" si="620"/>
        <v>2.4181742096376767E-2</v>
      </c>
      <c r="S197" s="35">
        <f t="shared" si="621"/>
        <v>0.54899684014036121</v>
      </c>
      <c r="T197" s="58">
        <f>+IF(S197&gt;$B$13,VLOOKUP(P197,'$ alcantarillado'!$I$6:$N$22,5),P197)</f>
        <v>6</v>
      </c>
      <c r="U197" s="55">
        <f>IF(O197&gt;0,VLOOKUP(T197,'$ alcantarillado'!$I$5:$L$22,4),"0")</f>
        <v>0.14499999999999999</v>
      </c>
      <c r="V197" s="55">
        <f t="shared" si="479"/>
        <v>2.4181742096376767E-2</v>
      </c>
      <c r="W197" s="35">
        <f t="shared" si="622"/>
        <v>0.54899684014036121</v>
      </c>
      <c r="X197" s="35">
        <f t="shared" ref="X197:X200" si="661">IF(T197&gt;0,4*V197/(PI()*(U197)^2),"")</f>
        <v>1.4644066728986387</v>
      </c>
      <c r="Y197" s="55">
        <f>IF(T197&gt;0,(VLOOKUP($W197,Relaciones!$A$4:$D$108,2)),"")</f>
        <v>0.87</v>
      </c>
      <c r="Z197" s="35">
        <f t="shared" ref="Z197:Z200" si="662">IF(T197&gt;0,Y197*X197,"")</f>
        <v>1.2740338054218157</v>
      </c>
      <c r="AA197" s="35">
        <f t="shared" ref="AA197:AA200" si="663">IF(T197&gt;0,250*U197*J197,"")</f>
        <v>0.64796874999999987</v>
      </c>
      <c r="AB197" s="46" t="str">
        <f t="shared" ref="AB197:AB200" si="664">IF(T197&gt;0,IF(W197&lt;=$B$13,"OK","No Cumple"),"")</f>
        <v>OK</v>
      </c>
      <c r="AC197" s="46" t="str">
        <f t="shared" ref="AC197:AC200" si="665">IF(T197&gt;0,IF(Z197&gt;=$B$12,"OK","No Cumple"),"")</f>
        <v>OK</v>
      </c>
      <c r="AD197" s="46" t="str">
        <f t="shared" ref="AD197:AD200" si="666">IF(T197&gt;0,IF(AA197&gt;$B$14,"OK","No Cumple"),"")</f>
        <v>OK</v>
      </c>
      <c r="AE197" s="48">
        <f t="shared" ref="AE197:AE200" si="667">+IF(AB197="OK",1,0)</f>
        <v>1</v>
      </c>
      <c r="AF197" s="48">
        <f t="shared" ref="AF197:AF200" si="668">+IF(AC197="OK",1,0)</f>
        <v>1</v>
      </c>
      <c r="AG197" s="48">
        <f t="shared" ref="AG197:AG200" si="669">+IF(AD197="OK",1,0)</f>
        <v>1</v>
      </c>
      <c r="AH197" s="48">
        <f t="shared" ref="AH197:AH200" si="670">SUM(AE197:AG197)</f>
        <v>3</v>
      </c>
      <c r="AI197" s="46">
        <f t="shared" ref="AI197:AI200" si="671">IF(AH197=3,2*$B$7+U197,0)</f>
        <v>0.64500000000000002</v>
      </c>
      <c r="AJ197" s="20">
        <f>IF(AI197&gt;0,I197*VLOOKUP(T197,'$ alcantarillado'!$I$6:$K$22,3),0)</f>
        <v>1912173.3333333335</v>
      </c>
      <c r="AK197" s="20">
        <f t="shared" si="580"/>
        <v>3963654.0000000042</v>
      </c>
      <c r="AL197" s="20">
        <f t="shared" si="581"/>
        <v>1636765.4450000019</v>
      </c>
      <c r="AM197" s="20">
        <f t="shared" si="596"/>
        <v>7512592.7783333398</v>
      </c>
      <c r="AN197" s="80">
        <f>+AP156</f>
        <v>5189211.7783333398</v>
      </c>
      <c r="AO197" s="78">
        <f t="shared" ref="AO197:AO200" si="672">IF((AM197)&gt;0,IF(AN197&gt;0,AM197+AN197,""),"")</f>
        <v>12701804.55666668</v>
      </c>
      <c r="AP197" s="214"/>
      <c r="AQ197" s="2"/>
      <c r="AR197" s="9"/>
    </row>
    <row r="198" spans="1:44" x14ac:dyDescent="0.25">
      <c r="A198" s="211"/>
      <c r="B198" s="211"/>
      <c r="C198" s="211"/>
      <c r="D198" s="211"/>
      <c r="E198" s="56">
        <v>3</v>
      </c>
      <c r="F198" s="2">
        <f>+H161</f>
        <v>46.32</v>
      </c>
      <c r="G198" s="56">
        <v>5</v>
      </c>
      <c r="H198" s="15">
        <f t="shared" ref="H198:H199" si="673">+H197</f>
        <v>45.39</v>
      </c>
      <c r="I198" s="2">
        <f t="shared" ref="I198" si="674">+I197</f>
        <v>80</v>
      </c>
      <c r="J198" s="18">
        <f t="shared" si="582"/>
        <v>1.1624999999999996E-2</v>
      </c>
      <c r="K198" s="2">
        <f t="shared" ref="K198:K199" si="675">+K197</f>
        <v>948</v>
      </c>
      <c r="L198" s="15">
        <f t="shared" si="583"/>
        <v>13.275700000000001</v>
      </c>
      <c r="M198" s="33">
        <f t="shared" si="660"/>
        <v>1.32757E-2</v>
      </c>
      <c r="N198" s="33">
        <f t="shared" si="474"/>
        <v>0.1255283002556522</v>
      </c>
      <c r="O198" s="33">
        <f t="shared" si="619"/>
        <v>4.942059065183158</v>
      </c>
      <c r="P198" s="58">
        <f t="shared" si="476"/>
        <v>6</v>
      </c>
      <c r="Q198" s="55">
        <f>IF(O198&gt;0,VLOOKUP(P198,'$ alcantarillado'!$I$5:$L$22,4,FALSE),"0")</f>
        <v>0.14499999999999999</v>
      </c>
      <c r="R198" s="55">
        <f t="shared" si="620"/>
        <v>1.9501186717674649E-2</v>
      </c>
      <c r="S198" s="35">
        <f t="shared" si="621"/>
        <v>0.68076369875315024</v>
      </c>
      <c r="T198" s="58">
        <f>+IF(S198&gt;$B$13,VLOOKUP(P198,'$ alcantarillado'!$I$6:$N$22,5),P198)</f>
        <v>6</v>
      </c>
      <c r="U198" s="55">
        <f>IF(O198&gt;0,VLOOKUP(T198,'$ alcantarillado'!$I$5:$L$22,4),"0")</f>
        <v>0.14499999999999999</v>
      </c>
      <c r="V198" s="55">
        <f t="shared" si="479"/>
        <v>1.9501186717674649E-2</v>
      </c>
      <c r="W198" s="35">
        <f t="shared" si="622"/>
        <v>0.68076369875315024</v>
      </c>
      <c r="X198" s="35">
        <f t="shared" si="661"/>
        <v>1.1809599095461343</v>
      </c>
      <c r="Y198" s="55">
        <f>IF(T198&gt;0,(VLOOKUP($W198,Relaciones!$A$4:$D$108,2)),"")</f>
        <v>0.93600000000000005</v>
      </c>
      <c r="Z198" s="35">
        <f t="shared" si="662"/>
        <v>1.1053784753351819</v>
      </c>
      <c r="AA198" s="35">
        <f t="shared" si="663"/>
        <v>0.42140624999999987</v>
      </c>
      <c r="AB198" s="46" t="str">
        <f t="shared" si="664"/>
        <v>OK</v>
      </c>
      <c r="AC198" s="46" t="str">
        <f t="shared" si="665"/>
        <v>OK</v>
      </c>
      <c r="AD198" s="46" t="str">
        <f t="shared" si="666"/>
        <v>OK</v>
      </c>
      <c r="AE198" s="48">
        <f t="shared" si="667"/>
        <v>1</v>
      </c>
      <c r="AF198" s="48">
        <f t="shared" si="668"/>
        <v>1</v>
      </c>
      <c r="AG198" s="48">
        <f t="shared" si="669"/>
        <v>1</v>
      </c>
      <c r="AH198" s="48">
        <f t="shared" si="670"/>
        <v>3</v>
      </c>
      <c r="AI198" s="46">
        <f t="shared" si="671"/>
        <v>0.64500000000000002</v>
      </c>
      <c r="AJ198" s="20">
        <f>IF(AI198&gt;0,I198*VLOOKUP(T198,'$ alcantarillado'!$I$6:$K$22,3),0)</f>
        <v>1912173.3333333335</v>
      </c>
      <c r="AK198" s="20">
        <f t="shared" si="580"/>
        <v>4428054.0000000047</v>
      </c>
      <c r="AL198" s="20">
        <f t="shared" si="581"/>
        <v>1985755.9450000019</v>
      </c>
      <c r="AM198" s="20">
        <f t="shared" si="596"/>
        <v>8325983.2783333398</v>
      </c>
      <c r="AN198" s="80">
        <f>+AP161</f>
        <v>5421411.7783333398</v>
      </c>
      <c r="AO198" s="78">
        <f t="shared" si="672"/>
        <v>13747395.05666668</v>
      </c>
      <c r="AP198" s="215"/>
      <c r="AQ198" s="2">
        <v>1</v>
      </c>
      <c r="AR198" s="9">
        <v>5</v>
      </c>
    </row>
    <row r="199" spans="1:44" x14ac:dyDescent="0.25">
      <c r="A199" s="211"/>
      <c r="B199" s="211"/>
      <c r="C199" s="211"/>
      <c r="D199" s="211"/>
      <c r="E199" s="56">
        <v>4</v>
      </c>
      <c r="F199" s="2">
        <f>+H166</f>
        <v>45.82</v>
      </c>
      <c r="G199" s="56">
        <v>5</v>
      </c>
      <c r="H199" s="15">
        <f t="shared" si="673"/>
        <v>45.39</v>
      </c>
      <c r="I199" s="2">
        <f t="shared" ref="I199" si="676">+I198</f>
        <v>80</v>
      </c>
      <c r="J199" s="18">
        <f>+(F199-H199)/I199</f>
        <v>5.3749999999999961E-3</v>
      </c>
      <c r="K199" s="2">
        <f t="shared" si="675"/>
        <v>948</v>
      </c>
      <c r="L199" s="15">
        <f t="shared" si="583"/>
        <v>13.275700000000001</v>
      </c>
      <c r="M199" s="33">
        <f t="shared" si="660"/>
        <v>1.32757E-2</v>
      </c>
      <c r="N199" s="33">
        <f t="shared" si="474"/>
        <v>0.1450630704499157</v>
      </c>
      <c r="O199" s="33">
        <f t="shared" si="619"/>
        <v>5.711144505902193</v>
      </c>
      <c r="P199" s="58">
        <f t="shared" si="476"/>
        <v>6</v>
      </c>
      <c r="Q199" s="55">
        <f>IF(O199&gt;0,VLOOKUP(P199,'$ alcantarillado'!$I$5:$L$22,4,FALSE),"0")</f>
        <v>0.14499999999999999</v>
      </c>
      <c r="R199" s="55">
        <f t="shared" si="620"/>
        <v>1.3260313570181519E-2</v>
      </c>
      <c r="S199" s="35">
        <f t="shared" si="621"/>
        <v>1.0011603368002608</v>
      </c>
      <c r="T199" s="58">
        <f>+IF(S199&gt;$B$13,VLOOKUP(P199,'$ alcantarillado'!$I$6:$N$22,5),P199)</f>
        <v>8</v>
      </c>
      <c r="U199" s="55">
        <f>IF(O199&gt;0,VLOOKUP(T199,'$ alcantarillado'!$I$5:$L$22,4),"0")</f>
        <v>0.182</v>
      </c>
      <c r="V199" s="55">
        <f t="shared" si="479"/>
        <v>2.4308760944232927E-2</v>
      </c>
      <c r="W199" s="35">
        <f t="shared" si="622"/>
        <v>0.54612820581254518</v>
      </c>
      <c r="X199" s="35">
        <f t="shared" si="661"/>
        <v>0.9343942675314284</v>
      </c>
      <c r="Y199" s="55">
        <f>IF(T199&gt;0,(VLOOKUP($W199,Relaciones!$A$4:$D$108,2)),"")</f>
        <v>0.87</v>
      </c>
      <c r="Z199" s="35">
        <f t="shared" si="662"/>
        <v>0.81292301275234269</v>
      </c>
      <c r="AA199" s="35">
        <f t="shared" si="663"/>
        <v>0.24456249999999982</v>
      </c>
      <c r="AB199" s="46" t="str">
        <f t="shared" si="664"/>
        <v>OK</v>
      </c>
      <c r="AC199" s="46" t="str">
        <f t="shared" si="665"/>
        <v>OK</v>
      </c>
      <c r="AD199" s="46" t="str">
        <f t="shared" si="666"/>
        <v>OK</v>
      </c>
      <c r="AE199" s="48">
        <f t="shared" si="667"/>
        <v>1</v>
      </c>
      <c r="AF199" s="48">
        <f t="shared" si="668"/>
        <v>1</v>
      </c>
      <c r="AG199" s="48">
        <f t="shared" si="669"/>
        <v>1</v>
      </c>
      <c r="AH199" s="48">
        <f t="shared" si="670"/>
        <v>3</v>
      </c>
      <c r="AI199" s="46">
        <f t="shared" si="671"/>
        <v>0.68199999999999994</v>
      </c>
      <c r="AJ199" s="20">
        <f>IF(AI199&gt;0,I199*VLOOKUP(T199,'$ alcantarillado'!$I$6:$K$22,3),0)</f>
        <v>2654586.666666667</v>
      </c>
      <c r="AK199" s="20">
        <f t="shared" si="580"/>
        <v>5227611.8400000036</v>
      </c>
      <c r="AL199" s="20">
        <f t="shared" si="581"/>
        <v>2360571.7420000019</v>
      </c>
      <c r="AM199" s="20">
        <f t="shared" si="596"/>
        <v>10242770.248666672</v>
      </c>
      <c r="AN199" s="80">
        <f>+AP166</f>
        <v>5653611.7783333398</v>
      </c>
      <c r="AO199" s="78">
        <f t="shared" si="672"/>
        <v>15896382.027000012</v>
      </c>
      <c r="AP199" s="215"/>
      <c r="AQ199" s="2"/>
      <c r="AR199" s="9"/>
    </row>
    <row r="200" spans="1:44" ht="15.75" thickBot="1" x14ac:dyDescent="0.3">
      <c r="A200" s="212"/>
      <c r="B200" s="212"/>
      <c r="C200" s="212"/>
      <c r="D200" s="212"/>
      <c r="E200" s="6">
        <v>5</v>
      </c>
      <c r="F200" s="16">
        <f>+H171</f>
        <v>45.32</v>
      </c>
      <c r="G200" s="6">
        <v>5</v>
      </c>
      <c r="H200" s="16">
        <f>+H199</f>
        <v>45.39</v>
      </c>
      <c r="I200" s="10">
        <f>+I199</f>
        <v>80</v>
      </c>
      <c r="J200" s="19">
        <f t="shared" si="582"/>
        <v>-8.750000000000036E-4</v>
      </c>
      <c r="K200" s="10">
        <f>+K199</f>
        <v>948</v>
      </c>
      <c r="L200" s="16">
        <f t="shared" si="583"/>
        <v>13.275700000000001</v>
      </c>
      <c r="M200" s="34">
        <f t="shared" si="660"/>
        <v>1.32757E-2</v>
      </c>
      <c r="N200" s="34">
        <f t="shared" si="474"/>
        <v>0</v>
      </c>
      <c r="O200" s="34">
        <f t="shared" si="619"/>
        <v>0</v>
      </c>
      <c r="P200" s="59">
        <f t="shared" si="476"/>
        <v>0</v>
      </c>
      <c r="Q200" s="46" t="str">
        <f>IF(O200&gt;0,VLOOKUP(P200,'$ alcantarillado'!$I$5:$L$22,4,FALSE),"0")</f>
        <v>0</v>
      </c>
      <c r="R200" s="47" t="str">
        <f t="shared" si="620"/>
        <v/>
      </c>
      <c r="S200" s="65">
        <f t="shared" si="621"/>
        <v>0</v>
      </c>
      <c r="T200" s="59">
        <f>+IF(S200&gt;$B$13,VLOOKUP(P200,'$ alcantarillado'!$I$6:$N$22,5),P200)</f>
        <v>0</v>
      </c>
      <c r="U200" s="55" t="str">
        <f>IF(O200&gt;0,VLOOKUP(T200,'$ alcantarillado'!$I$5:$L$22,4),"0")</f>
        <v>0</v>
      </c>
      <c r="V200" s="55" t="str">
        <f t="shared" si="479"/>
        <v/>
      </c>
      <c r="W200" s="65">
        <f t="shared" si="622"/>
        <v>0</v>
      </c>
      <c r="X200" s="65" t="str">
        <f t="shared" si="661"/>
        <v/>
      </c>
      <c r="Y200" s="47" t="str">
        <f>IF(T200&gt;0,(VLOOKUP($W200,Relaciones!$A$4:$D$108,2)),"")</f>
        <v/>
      </c>
      <c r="Z200" s="65" t="str">
        <f t="shared" si="662"/>
        <v/>
      </c>
      <c r="AA200" s="65" t="str">
        <f t="shared" si="663"/>
        <v/>
      </c>
      <c r="AB200" s="110" t="str">
        <f t="shared" si="664"/>
        <v/>
      </c>
      <c r="AC200" s="110" t="str">
        <f t="shared" si="665"/>
        <v/>
      </c>
      <c r="AD200" s="110" t="str">
        <f t="shared" si="666"/>
        <v/>
      </c>
      <c r="AE200" s="111">
        <f t="shared" si="667"/>
        <v>0</v>
      </c>
      <c r="AF200" s="111">
        <f t="shared" si="668"/>
        <v>0</v>
      </c>
      <c r="AG200" s="111">
        <f t="shared" si="669"/>
        <v>0</v>
      </c>
      <c r="AH200" s="111">
        <f t="shared" si="670"/>
        <v>0</v>
      </c>
      <c r="AI200" s="110">
        <f t="shared" si="671"/>
        <v>0</v>
      </c>
      <c r="AJ200" s="22">
        <f>IF(AI200&gt;0,I200*VLOOKUP(T200,'$ alcantarillado'!$I$6:$K$22,3),0)</f>
        <v>0</v>
      </c>
      <c r="AK200" s="22">
        <f t="shared" si="580"/>
        <v>0</v>
      </c>
      <c r="AL200" s="22">
        <f t="shared" si="581"/>
        <v>0</v>
      </c>
      <c r="AM200" s="22">
        <f t="shared" si="596"/>
        <v>0</v>
      </c>
      <c r="AN200" s="82">
        <f>+AP171</f>
        <v>5885811.7783333398</v>
      </c>
      <c r="AO200" s="79" t="str">
        <f t="shared" si="672"/>
        <v/>
      </c>
      <c r="AP200" s="216"/>
      <c r="AQ200" s="109"/>
      <c r="AR200" s="9"/>
    </row>
    <row r="201" spans="1:44" x14ac:dyDescent="0.25">
      <c r="D201" s="53">
        <v>49.09</v>
      </c>
      <c r="Q201" s="7"/>
      <c r="U201" s="7"/>
      <c r="V201" s="7"/>
      <c r="AA201" s="2"/>
      <c r="AF201" s="2"/>
      <c r="AH201" s="2"/>
      <c r="AP201" s="72"/>
      <c r="AR201" s="7"/>
    </row>
    <row r="203" spans="1:44" x14ac:dyDescent="0.25">
      <c r="AO203">
        <f>+COUNTBLANK(AO23:AO200)</f>
        <v>114</v>
      </c>
    </row>
  </sheetData>
  <mergeCells count="99">
    <mergeCell ref="AP171:AP175"/>
    <mergeCell ref="AP191:AP195"/>
    <mergeCell ref="AP196:AP200"/>
    <mergeCell ref="AP118:AP122"/>
    <mergeCell ref="AP138:AP142"/>
    <mergeCell ref="AP143:AP147"/>
    <mergeCell ref="AP166:AP170"/>
    <mergeCell ref="AP123:AP127"/>
    <mergeCell ref="AP128:AP132"/>
    <mergeCell ref="AP88:AP92"/>
    <mergeCell ref="AP93:AP97"/>
    <mergeCell ref="AP113:AP117"/>
    <mergeCell ref="AP83:AP87"/>
    <mergeCell ref="AP98:AP102"/>
    <mergeCell ref="AP103:AP107"/>
    <mergeCell ref="AP108:AP112"/>
    <mergeCell ref="B151:B175"/>
    <mergeCell ref="C151:C175"/>
    <mergeCell ref="D151:D175"/>
    <mergeCell ref="A73:A97"/>
    <mergeCell ref="B73:B97"/>
    <mergeCell ref="C73:C97"/>
    <mergeCell ref="D73:D97"/>
    <mergeCell ref="A98:A122"/>
    <mergeCell ref="B98:B122"/>
    <mergeCell ref="C98:C122"/>
    <mergeCell ref="D98:D122"/>
    <mergeCell ref="AJ20:AL20"/>
    <mergeCell ref="AE20:AH21"/>
    <mergeCell ref="AI20:AI21"/>
    <mergeCell ref="P20:P21"/>
    <mergeCell ref="Q20:Q21"/>
    <mergeCell ref="R20:R21"/>
    <mergeCell ref="J20:J21"/>
    <mergeCell ref="Z20:Z21"/>
    <mergeCell ref="AD20:AD21"/>
    <mergeCell ref="Y20:Y21"/>
    <mergeCell ref="AB20:AB21"/>
    <mergeCell ref="AC20:AC21"/>
    <mergeCell ref="B20:B22"/>
    <mergeCell ref="AA20:AA21"/>
    <mergeCell ref="S20:S21"/>
    <mergeCell ref="B8:C8"/>
    <mergeCell ref="A20:A22"/>
    <mergeCell ref="C20:C22"/>
    <mergeCell ref="D20:D22"/>
    <mergeCell ref="X20:X21"/>
    <mergeCell ref="T20:T21"/>
    <mergeCell ref="U20:U21"/>
    <mergeCell ref="V20:V21"/>
    <mergeCell ref="W20:W21"/>
    <mergeCell ref="A16:AR16"/>
    <mergeCell ref="AQ20:AR20"/>
    <mergeCell ref="H20:H21"/>
    <mergeCell ref="I20:I21"/>
    <mergeCell ref="A48:A72"/>
    <mergeCell ref="B48:B72"/>
    <mergeCell ref="C48:C72"/>
    <mergeCell ref="D48:D72"/>
    <mergeCell ref="O20:O21"/>
    <mergeCell ref="K20:K21"/>
    <mergeCell ref="L20:L21"/>
    <mergeCell ref="M20:M21"/>
    <mergeCell ref="N20:N21"/>
    <mergeCell ref="E20:E21"/>
    <mergeCell ref="F20:F21"/>
    <mergeCell ref="G20:G21"/>
    <mergeCell ref="A23:A47"/>
    <mergeCell ref="B23:B47"/>
    <mergeCell ref="C23:C47"/>
    <mergeCell ref="D23:D47"/>
    <mergeCell ref="AP23:AP27"/>
    <mergeCell ref="AP28:AP32"/>
    <mergeCell ref="AP33:AP37"/>
    <mergeCell ref="AP73:AP77"/>
    <mergeCell ref="AP78:AP82"/>
    <mergeCell ref="AP48:AP52"/>
    <mergeCell ref="AP53:AP57"/>
    <mergeCell ref="AP58:AP62"/>
    <mergeCell ref="AP38:AP42"/>
    <mergeCell ref="AP43:AP47"/>
    <mergeCell ref="AP63:AP67"/>
    <mergeCell ref="AP68:AP72"/>
    <mergeCell ref="A176:A200"/>
    <mergeCell ref="B176:B200"/>
    <mergeCell ref="C176:C200"/>
    <mergeCell ref="AP176:AP180"/>
    <mergeCell ref="AP133:AP137"/>
    <mergeCell ref="AP181:AP185"/>
    <mergeCell ref="AP186:AP190"/>
    <mergeCell ref="AP151:AP155"/>
    <mergeCell ref="AP156:AP160"/>
    <mergeCell ref="AP161:AP165"/>
    <mergeCell ref="D176:D200"/>
    <mergeCell ref="A123:A147"/>
    <mergeCell ref="B123:B147"/>
    <mergeCell ref="C123:C147"/>
    <mergeCell ref="D123:D147"/>
    <mergeCell ref="A151:A17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32767" scale="4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2:AR203"/>
  <sheetViews>
    <sheetView view="pageBreakPreview" zoomScale="55" zoomScaleNormal="70" zoomScaleSheetLayoutView="55" workbookViewId="0">
      <selection activeCell="I39" sqref="I39"/>
    </sheetView>
  </sheetViews>
  <sheetFormatPr baseColWidth="10" defaultRowHeight="15" x14ac:dyDescent="0.25"/>
  <cols>
    <col min="1" max="1" width="9.85546875" customWidth="1"/>
    <col min="2" max="2" width="11.5703125" customWidth="1"/>
    <col min="3" max="3" width="18" customWidth="1"/>
    <col min="4" max="4" width="10" customWidth="1"/>
    <col min="5" max="5" width="18.140625" customWidth="1"/>
    <col min="6" max="6" width="10" customWidth="1"/>
    <col min="7" max="7" width="18.28515625" customWidth="1"/>
    <col min="8" max="8" width="10" customWidth="1"/>
    <col min="9" max="9" width="16.28515625" customWidth="1"/>
    <col min="10" max="12" width="14.85546875" customWidth="1"/>
    <col min="13" max="13" width="14.42578125" customWidth="1"/>
    <col min="14" max="14" width="10.5703125" customWidth="1"/>
    <col min="15" max="15" width="10" customWidth="1"/>
    <col min="16" max="16" width="14.140625" customWidth="1"/>
    <col min="17" max="17" width="14.85546875" customWidth="1"/>
    <col min="18" max="18" width="11" customWidth="1"/>
    <col min="19" max="19" width="8.5703125" customWidth="1"/>
    <col min="20" max="20" width="16.5703125" customWidth="1"/>
    <col min="21" max="21" width="14.5703125" customWidth="1"/>
    <col min="22" max="23" width="8.5703125" customWidth="1"/>
    <col min="24" max="24" width="13.5703125" customWidth="1"/>
    <col min="25" max="27" width="10.140625" customWidth="1"/>
    <col min="28" max="29" width="11" bestFit="1" customWidth="1"/>
    <col min="30" max="30" width="15.140625" bestFit="1" customWidth="1"/>
    <col min="31" max="31" width="5.85546875" bestFit="1" customWidth="1"/>
    <col min="32" max="32" width="4" customWidth="1"/>
    <col min="33" max="33" width="4.140625" customWidth="1"/>
    <col min="34" max="34" width="9.5703125" bestFit="1" customWidth="1"/>
    <col min="35" max="35" width="14.42578125" customWidth="1"/>
    <col min="36" max="36" width="20.140625" customWidth="1"/>
    <col min="37" max="37" width="18.85546875" customWidth="1"/>
    <col min="38" max="38" width="19.28515625" customWidth="1"/>
    <col min="39" max="39" width="20" customWidth="1"/>
    <col min="40" max="40" width="20.28515625" customWidth="1"/>
    <col min="41" max="41" width="22.140625" customWidth="1"/>
    <col min="42" max="42" width="19" customWidth="1"/>
    <col min="43" max="44" width="10" customWidth="1"/>
    <col min="45" max="45" width="3" customWidth="1"/>
    <col min="46" max="46" width="6.7109375" bestFit="1" customWidth="1"/>
  </cols>
  <sheetData>
    <row r="2" spans="1:44" x14ac:dyDescent="0.25">
      <c r="A2" t="s">
        <v>1</v>
      </c>
      <c r="B2">
        <v>0.01</v>
      </c>
    </row>
    <row r="3" spans="1:44" x14ac:dyDescent="0.25">
      <c r="A3" t="s">
        <v>2</v>
      </c>
      <c r="B3" s="29">
        <f>0.5+N23</f>
        <v>0.60602900237114532</v>
      </c>
      <c r="C3" t="s">
        <v>37</v>
      </c>
    </row>
    <row r="4" spans="1:44" x14ac:dyDescent="0.25">
      <c r="A4" s="28" t="s">
        <v>3</v>
      </c>
      <c r="B4" s="28">
        <v>0.5</v>
      </c>
      <c r="C4" s="28" t="s">
        <v>37</v>
      </c>
      <c r="G4" t="s">
        <v>41</v>
      </c>
      <c r="H4">
        <v>158</v>
      </c>
    </row>
    <row r="5" spans="1:44" x14ac:dyDescent="0.25">
      <c r="A5" t="s">
        <v>26</v>
      </c>
      <c r="B5">
        <v>1.2</v>
      </c>
      <c r="C5" t="s">
        <v>37</v>
      </c>
      <c r="G5" t="s">
        <v>42</v>
      </c>
      <c r="H5">
        <f>10+4+2+1</f>
        <v>17</v>
      </c>
      <c r="AO5">
        <f>0.5/5</f>
        <v>0.1</v>
      </c>
    </row>
    <row r="6" spans="1:44" x14ac:dyDescent="0.25">
      <c r="A6" t="s">
        <v>27</v>
      </c>
      <c r="B6">
        <v>1</v>
      </c>
      <c r="G6" t="s">
        <v>43</v>
      </c>
      <c r="H6">
        <f>10+3*4+4*1</f>
        <v>26</v>
      </c>
      <c r="AL6" s="37">
        <v>0.5</v>
      </c>
    </row>
    <row r="7" spans="1:44" x14ac:dyDescent="0.25">
      <c r="A7" t="s">
        <v>50</v>
      </c>
      <c r="B7">
        <v>0.25</v>
      </c>
      <c r="C7" t="s">
        <v>37</v>
      </c>
      <c r="G7" t="s">
        <v>44</v>
      </c>
      <c r="H7">
        <f>1+30+3+(145)</f>
        <v>179</v>
      </c>
      <c r="AK7">
        <v>80</v>
      </c>
      <c r="AL7">
        <f>+AL6/100</f>
        <v>5.0000000000000001E-3</v>
      </c>
      <c r="AM7">
        <f>+AK7*AL7</f>
        <v>0.4</v>
      </c>
      <c r="AN7">
        <f>+AK7-AM7</f>
        <v>79.599999999999994</v>
      </c>
    </row>
    <row r="8" spans="1:44" x14ac:dyDescent="0.25">
      <c r="B8" s="236"/>
      <c r="C8" s="236"/>
      <c r="G8" t="s">
        <v>45</v>
      </c>
      <c r="H8">
        <f>1+10</f>
        <v>11</v>
      </c>
    </row>
    <row r="9" spans="1:44" x14ac:dyDescent="0.25">
      <c r="A9" s="184" t="s">
        <v>99</v>
      </c>
      <c r="B9" s="182"/>
      <c r="C9" s="183">
        <v>18000</v>
      </c>
    </row>
    <row r="10" spans="1:44" x14ac:dyDescent="0.25">
      <c r="A10" s="184" t="s">
        <v>100</v>
      </c>
      <c r="B10" s="74"/>
      <c r="C10" s="71">
        <v>697981</v>
      </c>
      <c r="G10" t="s">
        <v>46</v>
      </c>
      <c r="H10">
        <f>5+70+7+20</f>
        <v>102</v>
      </c>
      <c r="P10" s="36"/>
      <c r="Q10" s="37"/>
      <c r="R10" s="3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72"/>
      <c r="AK10" s="72"/>
      <c r="AL10" s="72"/>
    </row>
    <row r="11" spans="1:44" x14ac:dyDescent="0.25">
      <c r="G11" t="s">
        <v>47</v>
      </c>
      <c r="H11">
        <v>3</v>
      </c>
      <c r="AJ11" s="72"/>
      <c r="AK11" s="72"/>
      <c r="AL11" s="72"/>
    </row>
    <row r="12" spans="1:44" x14ac:dyDescent="0.25">
      <c r="A12" s="62" t="s">
        <v>78</v>
      </c>
      <c r="B12" s="75">
        <v>0.4</v>
      </c>
      <c r="G12" t="s">
        <v>48</v>
      </c>
      <c r="H12">
        <f>150+16+3+80</f>
        <v>249</v>
      </c>
      <c r="AJ12" s="72"/>
      <c r="AK12" s="72"/>
      <c r="AL12" s="72"/>
    </row>
    <row r="13" spans="1:44" x14ac:dyDescent="0.25">
      <c r="A13" s="62" t="s">
        <v>79</v>
      </c>
      <c r="B13" s="62">
        <v>0.85</v>
      </c>
      <c r="G13" t="s">
        <v>49</v>
      </c>
      <c r="H13">
        <f>40+4+1+20</f>
        <v>65</v>
      </c>
      <c r="AJ13" s="72"/>
      <c r="AK13" s="72"/>
      <c r="AL13" s="72"/>
    </row>
    <row r="14" spans="1:44" x14ac:dyDescent="0.25">
      <c r="A14" s="68" t="s">
        <v>54</v>
      </c>
      <c r="B14" s="62">
        <v>0.15</v>
      </c>
      <c r="AJ14" s="72"/>
      <c r="AK14" s="72"/>
      <c r="AL14" s="72"/>
    </row>
    <row r="15" spans="1:44" x14ac:dyDescent="0.25">
      <c r="A15" s="68" t="s">
        <v>3</v>
      </c>
      <c r="B15" s="62">
        <f>0.5/4</f>
        <v>0.125</v>
      </c>
    </row>
    <row r="16" spans="1:44" ht="20.25" x14ac:dyDescent="0.3">
      <c r="A16" s="238" t="s">
        <v>102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</row>
    <row r="17" spans="1:44" ht="15.75" thickBot="1" x14ac:dyDescent="0.3">
      <c r="A17" s="12"/>
      <c r="B17" s="2"/>
    </row>
    <row r="18" spans="1:44" ht="15.75" thickBot="1" x14ac:dyDescent="0.3">
      <c r="A18" s="87">
        <v>1</v>
      </c>
      <c r="B18" s="86">
        <v>2</v>
      </c>
      <c r="C18" s="86">
        <v>3</v>
      </c>
      <c r="D18" s="86">
        <v>4</v>
      </c>
      <c r="E18" s="86">
        <v>5</v>
      </c>
      <c r="F18" s="86">
        <v>6</v>
      </c>
      <c r="G18" s="86">
        <v>7</v>
      </c>
      <c r="H18" s="86">
        <v>8</v>
      </c>
      <c r="I18" s="86">
        <v>9</v>
      </c>
      <c r="J18" s="86">
        <v>10</v>
      </c>
      <c r="K18" s="86">
        <v>11</v>
      </c>
      <c r="L18" s="86">
        <v>12</v>
      </c>
      <c r="M18" s="86">
        <v>13</v>
      </c>
      <c r="N18" s="86">
        <v>14</v>
      </c>
      <c r="O18" s="86">
        <v>15</v>
      </c>
      <c r="P18" s="86">
        <v>16</v>
      </c>
      <c r="Q18" s="86">
        <v>17</v>
      </c>
      <c r="R18" s="86">
        <v>18</v>
      </c>
      <c r="S18" s="86">
        <v>19</v>
      </c>
      <c r="T18" s="86">
        <v>16</v>
      </c>
      <c r="U18" s="86">
        <v>17</v>
      </c>
      <c r="V18" s="86">
        <v>18</v>
      </c>
      <c r="W18" s="86">
        <v>19</v>
      </c>
      <c r="X18" s="86">
        <v>20</v>
      </c>
      <c r="Y18" s="86">
        <v>21</v>
      </c>
      <c r="Z18" s="86">
        <v>22</v>
      </c>
      <c r="AA18" s="86">
        <v>23</v>
      </c>
      <c r="AB18" s="86">
        <v>24</v>
      </c>
      <c r="AC18" s="86">
        <v>25</v>
      </c>
      <c r="AD18" s="86">
        <v>26</v>
      </c>
      <c r="AE18" s="86">
        <v>27</v>
      </c>
      <c r="AF18" s="86">
        <v>28</v>
      </c>
      <c r="AG18" s="86">
        <v>29</v>
      </c>
      <c r="AH18" s="86">
        <v>30</v>
      </c>
      <c r="AI18" s="86">
        <v>31</v>
      </c>
      <c r="AJ18" s="86">
        <v>32</v>
      </c>
      <c r="AK18" s="86">
        <v>33</v>
      </c>
      <c r="AL18" s="86">
        <v>34</v>
      </c>
      <c r="AM18" s="86">
        <v>35</v>
      </c>
      <c r="AN18" s="86">
        <v>36</v>
      </c>
      <c r="AO18" s="86">
        <v>37</v>
      </c>
      <c r="AP18" s="86">
        <v>38</v>
      </c>
      <c r="AQ18" s="86">
        <v>39</v>
      </c>
      <c r="AR18" s="88">
        <v>40</v>
      </c>
    </row>
    <row r="19" spans="1:44" ht="14.25" customHeight="1" x14ac:dyDescent="0.25">
      <c r="R19" t="s">
        <v>52</v>
      </c>
      <c r="S19" t="s">
        <v>58</v>
      </c>
      <c r="Z19" t="s">
        <v>61</v>
      </c>
    </row>
    <row r="20" spans="1:44" ht="17.25" customHeight="1" x14ac:dyDescent="0.25">
      <c r="A20" s="233" t="s">
        <v>4</v>
      </c>
      <c r="B20" s="234" t="s">
        <v>70</v>
      </c>
      <c r="C20" s="234" t="s">
        <v>71</v>
      </c>
      <c r="D20" s="234" t="s">
        <v>5</v>
      </c>
      <c r="E20" s="234" t="s">
        <v>6</v>
      </c>
      <c r="F20" s="233" t="s">
        <v>7</v>
      </c>
      <c r="G20" s="234" t="s">
        <v>8</v>
      </c>
      <c r="H20" s="233" t="s">
        <v>7</v>
      </c>
      <c r="I20" s="234" t="s">
        <v>9</v>
      </c>
      <c r="J20" s="233" t="s">
        <v>10</v>
      </c>
      <c r="K20" s="234" t="s">
        <v>34</v>
      </c>
      <c r="L20" s="233" t="s">
        <v>72</v>
      </c>
      <c r="M20" s="233" t="s">
        <v>72</v>
      </c>
      <c r="N20" s="233" t="s">
        <v>11</v>
      </c>
      <c r="O20" s="233" t="s">
        <v>11</v>
      </c>
      <c r="P20" s="235" t="s">
        <v>12</v>
      </c>
      <c r="Q20" s="235" t="s">
        <v>12</v>
      </c>
      <c r="R20" s="235" t="s">
        <v>76</v>
      </c>
      <c r="S20" s="235" t="s">
        <v>73</v>
      </c>
      <c r="T20" s="234" t="s">
        <v>12</v>
      </c>
      <c r="U20" s="234" t="s">
        <v>12</v>
      </c>
      <c r="V20" s="237" t="s">
        <v>76</v>
      </c>
      <c r="W20" s="234" t="s">
        <v>73</v>
      </c>
      <c r="X20" s="234" t="s">
        <v>75</v>
      </c>
      <c r="Y20" s="234" t="s">
        <v>74</v>
      </c>
      <c r="Z20" s="234" t="s">
        <v>53</v>
      </c>
      <c r="AA20" s="234" t="s">
        <v>54</v>
      </c>
      <c r="AB20" s="234" t="s">
        <v>65</v>
      </c>
      <c r="AC20" s="234" t="s">
        <v>65</v>
      </c>
      <c r="AD20" s="234" t="s">
        <v>65</v>
      </c>
      <c r="AE20" s="241" t="s">
        <v>69</v>
      </c>
      <c r="AF20" s="242"/>
      <c r="AG20" s="242"/>
      <c r="AH20" s="243"/>
      <c r="AI20" s="237" t="s">
        <v>38</v>
      </c>
      <c r="AJ20" s="233" t="s">
        <v>13</v>
      </c>
      <c r="AK20" s="233"/>
      <c r="AL20" s="233"/>
      <c r="AM20" s="73" t="s">
        <v>81</v>
      </c>
      <c r="AN20" s="63" t="s">
        <v>14</v>
      </c>
      <c r="AO20" s="73" t="s">
        <v>80</v>
      </c>
      <c r="AP20" s="73" t="s">
        <v>15</v>
      </c>
      <c r="AQ20" s="239" t="s">
        <v>28</v>
      </c>
      <c r="AR20" s="240"/>
    </row>
    <row r="21" spans="1:44" ht="15" customHeight="1" x14ac:dyDescent="0.25">
      <c r="A21" s="233"/>
      <c r="B21" s="234"/>
      <c r="C21" s="234"/>
      <c r="D21" s="234"/>
      <c r="E21" s="234"/>
      <c r="F21" s="233"/>
      <c r="G21" s="234"/>
      <c r="H21" s="233"/>
      <c r="I21" s="234"/>
      <c r="J21" s="233"/>
      <c r="K21" s="234"/>
      <c r="L21" s="233"/>
      <c r="M21" s="233"/>
      <c r="N21" s="233"/>
      <c r="O21" s="233"/>
      <c r="P21" s="235"/>
      <c r="Q21" s="235"/>
      <c r="R21" s="235" t="s">
        <v>55</v>
      </c>
      <c r="S21" s="235"/>
      <c r="T21" s="234"/>
      <c r="U21" s="234"/>
      <c r="V21" s="237" t="s">
        <v>55</v>
      </c>
      <c r="W21" s="234"/>
      <c r="X21" s="234" t="s">
        <v>56</v>
      </c>
      <c r="Y21" s="234"/>
      <c r="Z21" s="234" t="s">
        <v>56</v>
      </c>
      <c r="AA21" s="234" t="s">
        <v>57</v>
      </c>
      <c r="AB21" s="234"/>
      <c r="AC21" s="234"/>
      <c r="AD21" s="234"/>
      <c r="AE21" s="244"/>
      <c r="AF21" s="245"/>
      <c r="AG21" s="245"/>
      <c r="AH21" s="246"/>
      <c r="AI21" s="237"/>
      <c r="AJ21" s="73" t="s">
        <v>16</v>
      </c>
      <c r="AK21" s="76" t="s">
        <v>17</v>
      </c>
      <c r="AL21" s="76" t="s">
        <v>14</v>
      </c>
      <c r="AM21" s="73" t="s">
        <v>18</v>
      </c>
      <c r="AN21" s="73" t="s">
        <v>19</v>
      </c>
      <c r="AO21" s="73" t="s">
        <v>19</v>
      </c>
      <c r="AP21" s="73" t="s">
        <v>19</v>
      </c>
      <c r="AQ21" s="73" t="s">
        <v>20</v>
      </c>
      <c r="AR21" s="73" t="s">
        <v>20</v>
      </c>
    </row>
    <row r="22" spans="1:44" ht="29.25" customHeight="1" thickBot="1" x14ac:dyDescent="0.3">
      <c r="A22" s="233"/>
      <c r="B22" s="234"/>
      <c r="C22" s="234"/>
      <c r="D22" s="234"/>
      <c r="E22" s="13" t="s">
        <v>21</v>
      </c>
      <c r="F22" s="13" t="s">
        <v>29</v>
      </c>
      <c r="G22" s="13" t="s">
        <v>21</v>
      </c>
      <c r="H22" s="13" t="s">
        <v>29</v>
      </c>
      <c r="I22" s="13" t="s">
        <v>29</v>
      </c>
      <c r="J22" s="13" t="s">
        <v>30</v>
      </c>
      <c r="K22" s="13"/>
      <c r="L22" s="13" t="s">
        <v>35</v>
      </c>
      <c r="M22" s="13" t="s">
        <v>36</v>
      </c>
      <c r="N22" s="13" t="s">
        <v>29</v>
      </c>
      <c r="O22" s="13" t="s">
        <v>22</v>
      </c>
      <c r="P22" s="112" t="s">
        <v>22</v>
      </c>
      <c r="Q22" s="112" t="s">
        <v>29</v>
      </c>
      <c r="R22" s="112" t="s">
        <v>36</v>
      </c>
      <c r="S22" s="112"/>
      <c r="T22" s="13" t="s">
        <v>22</v>
      </c>
      <c r="U22" s="13" t="s">
        <v>29</v>
      </c>
      <c r="V22" s="13" t="s">
        <v>36</v>
      </c>
      <c r="W22" s="13"/>
      <c r="X22" s="13" t="s">
        <v>67</v>
      </c>
      <c r="Y22" s="13"/>
      <c r="Z22" s="13" t="s">
        <v>67</v>
      </c>
      <c r="AA22" s="13" t="s">
        <v>57</v>
      </c>
      <c r="AB22" s="13" t="s">
        <v>59</v>
      </c>
      <c r="AC22" s="13" t="s">
        <v>66</v>
      </c>
      <c r="AD22" s="13" t="s">
        <v>54</v>
      </c>
      <c r="AE22" s="13" t="s">
        <v>59</v>
      </c>
      <c r="AF22" s="13" t="s">
        <v>66</v>
      </c>
      <c r="AG22" s="13" t="s">
        <v>54</v>
      </c>
      <c r="AH22" s="13" t="s">
        <v>68</v>
      </c>
      <c r="AI22" s="13" t="s">
        <v>29</v>
      </c>
      <c r="AJ22" s="13" t="s">
        <v>23</v>
      </c>
      <c r="AK22" s="13" t="s">
        <v>23</v>
      </c>
      <c r="AL22" s="13" t="s">
        <v>23</v>
      </c>
      <c r="AM22" s="13" t="s">
        <v>23</v>
      </c>
      <c r="AN22" s="13" t="s">
        <v>23</v>
      </c>
      <c r="AO22" s="13" t="s">
        <v>23</v>
      </c>
      <c r="AP22" s="13"/>
      <c r="AQ22" s="13" t="s">
        <v>24</v>
      </c>
      <c r="AR22" s="13" t="s">
        <v>25</v>
      </c>
    </row>
    <row r="23" spans="1:44" x14ac:dyDescent="0.25">
      <c r="A23" s="229">
        <v>1</v>
      </c>
      <c r="B23" s="229">
        <v>1</v>
      </c>
      <c r="C23" s="229">
        <v>2</v>
      </c>
      <c r="D23" s="229">
        <v>49.3</v>
      </c>
      <c r="E23" s="127">
        <v>1</v>
      </c>
      <c r="F23" s="132">
        <f>+'LOGIKA AN-1'!F23</f>
        <v>48.099999999999994</v>
      </c>
      <c r="G23" s="127">
        <v>1</v>
      </c>
      <c r="H23" s="136">
        <f>+H33+2*$B$15</f>
        <v>47.75</v>
      </c>
      <c r="I23" s="129">
        <v>80</v>
      </c>
      <c r="J23" s="130">
        <f>+(F23-H23)/I23</f>
        <v>4.3749999999999293E-3</v>
      </c>
      <c r="K23" s="138">
        <f>+H4</f>
        <v>158</v>
      </c>
      <c r="L23" s="132">
        <f>IF(K23&lt;38,K23^0.3686*0.7401,IF(K23&lt;235,K23^0.4193*0.6215,IF(K23&lt;932,K23*0.0092+4.2493,K23*0.0069+6.7345)))</f>
        <v>5.1920402377148429</v>
      </c>
      <c r="M23" s="133">
        <f>+L23/1000</f>
        <v>5.1920402377148428E-3</v>
      </c>
      <c r="N23" s="133">
        <f t="shared" ref="N23:N86" si="0">+IF(J23&gt;0,((M23*$B$2*(4^(5/3))/((J23^0.5)*PI()*$B$6))^(3/8)),0)</f>
        <v>0.10602900237114536</v>
      </c>
      <c r="O23" s="133">
        <f t="shared" ref="O23:O86" si="1">+N23*(100/2.54)</f>
        <v>4.1743701720923374</v>
      </c>
      <c r="P23" s="134">
        <f>IF(O23&lt;0.1,0,IF(O23&lt;4,6,EVEN(O23)))</f>
        <v>6</v>
      </c>
      <c r="Q23" s="135">
        <f>IF(O23&gt;0,VLOOKUP(P23,'$ alcantarillado'!$I$5:$L$22,4,FALSE),"0")</f>
        <v>0.14499999999999999</v>
      </c>
      <c r="R23" s="135">
        <f t="shared" ref="R23:R86" si="2">IF(P23&gt;0,PI()*((Q23)^(8/3))*((J23)^0.5)/($B$2*4^(5/3)),"")</f>
        <v>1.1963371481010138E-2</v>
      </c>
      <c r="S23" s="136">
        <f t="shared" ref="S23:S86" si="3">IF(P23&gt;0,+M23/R23,0)</f>
        <v>0.43399473517614517</v>
      </c>
      <c r="T23" s="134">
        <f>+IF(S23&gt;$B$13,VLOOKUP(P23,'$ alcantarillado'!$I$6:$N$22,5),P23)</f>
        <v>6</v>
      </c>
      <c r="U23" s="135">
        <f>IF(O23&gt;0,VLOOKUP(T23,'$ alcantarillado'!$I$5:$L$22,4),"0")</f>
        <v>0.14499999999999999</v>
      </c>
      <c r="V23" s="135">
        <f t="shared" ref="V23:V86" si="4">IF(T23&gt;0,PI()*((U23)^(8/3))*((J23)^0.5)/($B$2*4^(5/3)),"")</f>
        <v>1.1963371481010138E-2</v>
      </c>
      <c r="W23" s="136">
        <f t="shared" ref="W23:W54" si="5">IF(T23&gt;0,M23/V23,0)</f>
        <v>0.43399473517614517</v>
      </c>
      <c r="X23" s="136">
        <f>IF(T23&gt;0,4*V23/(PI()*(U23)^2),"")</f>
        <v>0.72448217160423212</v>
      </c>
      <c r="Y23" s="135">
        <f>IF(T23&gt;0,(VLOOKUP($W23,Relaciones!$A$4:$D$108,2)),"")</f>
        <v>0.81</v>
      </c>
      <c r="Z23" s="136">
        <f>IF(T23&gt;0,Y23*X23,"")</f>
        <v>0.58683055899942804</v>
      </c>
      <c r="AA23" s="136">
        <f>IF(T23&gt;0,250*U23*J23,"")</f>
        <v>0.15859374999999742</v>
      </c>
      <c r="AB23" s="137" t="str">
        <f>IF(T23&gt;0,IF(W23&lt;=$B$13,"OK","No Cumple"),"")</f>
        <v>OK</v>
      </c>
      <c r="AC23" s="137" t="str">
        <f>IF(T23&gt;0,IF(Z23&gt;=$B$12,"OK","No Cumple"),"")</f>
        <v>OK</v>
      </c>
      <c r="AD23" s="137" t="str">
        <f>IF(T23&gt;0,IF(AA23&gt;$B$14,"OK","No Cumple"),"")</f>
        <v>OK</v>
      </c>
      <c r="AE23" s="138">
        <f>+IF(AB23="OK",1,0)</f>
        <v>1</v>
      </c>
      <c r="AF23" s="138">
        <f>+IF(AC23="OK",1,0)</f>
        <v>1</v>
      </c>
      <c r="AG23" s="138">
        <f>+IF(AD23="OK",1,0)</f>
        <v>1</v>
      </c>
      <c r="AH23" s="138">
        <f>SUM(AE23:AG23)</f>
        <v>3</v>
      </c>
      <c r="AI23" s="137">
        <f>IF(AH23=3,2*$B$7+U23,0)</f>
        <v>0.64500000000000002</v>
      </c>
      <c r="AJ23" s="139">
        <f>IF(AI23&gt;0,I23*VLOOKUP(T23,'$ alcantarillado'!$I$6:$K$22,3),0)</f>
        <v>1912173.3333333335</v>
      </c>
      <c r="AK23" s="139">
        <f t="shared" ref="AK23:AK47" si="6">IF(N23&gt;0,((($D$23-F23)+(U23))+(($D$48-H23)+(U23))/2)*AI23*I23*$C$9,0)</f>
        <v>1989954.0000000042</v>
      </c>
      <c r="AL23" s="139">
        <f t="shared" ref="AL23:AL47" si="7">IF(AI23&gt;0,(($D$23-F23)+U23)*$C$10,0)</f>
        <v>938784.44500000204</v>
      </c>
      <c r="AM23" s="139">
        <f>IF(AJ23&gt;0,AJ23+AK23+AL23,0)</f>
        <v>4840911.7783333398</v>
      </c>
      <c r="AN23" s="129">
        <v>0</v>
      </c>
      <c r="AO23" s="173">
        <f t="shared" ref="AO23:AO47" si="8">IF((AM23+AN23)&gt;0,(AM23+AN23),"")</f>
        <v>4840911.7783333398</v>
      </c>
      <c r="AP23" s="225">
        <f>+MIN(AO23:AO27)</f>
        <v>4840911.7783333398</v>
      </c>
      <c r="AQ23" s="129"/>
      <c r="AR23" s="163"/>
    </row>
    <row r="24" spans="1:44" x14ac:dyDescent="0.25">
      <c r="A24" s="230"/>
      <c r="B24" s="230"/>
      <c r="C24" s="230"/>
      <c r="D24" s="230"/>
      <c r="E24" s="141">
        <v>2</v>
      </c>
      <c r="F24" s="128">
        <f>+F23-$B$15</f>
        <v>47.974999999999994</v>
      </c>
      <c r="G24" s="141">
        <v>1</v>
      </c>
      <c r="H24" s="146">
        <f>+H23</f>
        <v>47.75</v>
      </c>
      <c r="I24" s="142">
        <f>+I23</f>
        <v>80</v>
      </c>
      <c r="J24" s="143">
        <f t="shared" ref="J24:J87" si="9">+(F24-H24)/I24</f>
        <v>2.8124999999999288E-3</v>
      </c>
      <c r="K24" s="142">
        <f>+K23</f>
        <v>158</v>
      </c>
      <c r="L24" s="128">
        <f t="shared" ref="L24:L87" si="10">IF(K24&lt;38,K24^0.3686*0.7401,IF(K24&lt;235,K24^0.4193*0.6215,IF(K24&lt;932,K24*0.0092+4.2493,K24*0.0069+6.7345)))</f>
        <v>5.1920402377148429</v>
      </c>
      <c r="M24" s="144">
        <f t="shared" ref="M24:M47" si="11">+L24/1000</f>
        <v>5.1920402377148428E-3</v>
      </c>
      <c r="N24" s="144">
        <f t="shared" si="0"/>
        <v>0.11518693207929813</v>
      </c>
      <c r="O24" s="144">
        <f t="shared" si="1"/>
        <v>4.5349185857991392</v>
      </c>
      <c r="P24" s="145">
        <f t="shared" ref="P24:P87" si="12">IF(O24&lt;0.1,0,IF(O24&lt;4,6,EVEN(O24)))</f>
        <v>6</v>
      </c>
      <c r="Q24" s="113">
        <f>IF(O24&gt;0,VLOOKUP(P24,'$ alcantarillado'!$I$5:$L$22,4,FALSE),"0")</f>
        <v>0.14499999999999999</v>
      </c>
      <c r="R24" s="113">
        <f t="shared" si="2"/>
        <v>9.5920365584233041E-3</v>
      </c>
      <c r="S24" s="146">
        <f t="shared" si="3"/>
        <v>0.54128653556427719</v>
      </c>
      <c r="T24" s="145">
        <f>+IF(S24&gt;$B$13,VLOOKUP(P24,'$ alcantarillado'!$I$6:$N$22,5),P24)</f>
        <v>6</v>
      </c>
      <c r="U24" s="113">
        <f>IF(O24&gt;0,VLOOKUP(T24,'$ alcantarillado'!$I$5:$L$22,4),"0")</f>
        <v>0.14499999999999999</v>
      </c>
      <c r="V24" s="113">
        <f t="shared" si="4"/>
        <v>9.5920365584233041E-3</v>
      </c>
      <c r="W24" s="146">
        <f t="shared" si="5"/>
        <v>0.54128653556427719</v>
      </c>
      <c r="X24" s="146">
        <f t="shared" ref="X24:X27" si="13">IF(T24&gt;0,4*V24/(PI()*(U24)^2),"")</f>
        <v>0.58087801477906897</v>
      </c>
      <c r="Y24" s="113">
        <f>IF(T24&gt;0,(VLOOKUP($W24,Relaciones!$A$4:$D$108,2)),"")</f>
        <v>0.87</v>
      </c>
      <c r="Z24" s="146">
        <f t="shared" ref="Z24:Z27" si="14">IF(T24&gt;0,Y24*X24,"")</f>
        <v>0.50536387285779005</v>
      </c>
      <c r="AA24" s="146">
        <f t="shared" ref="AA24:AA27" si="15">IF(T24&gt;0,250*U24*J24,"")</f>
        <v>0.10195312499999742</v>
      </c>
      <c r="AB24" s="147" t="str">
        <f t="shared" ref="AB24:AB27" si="16">IF(T24&gt;0,IF(W24&lt;=$B$13,"OK","No Cumple"),"")</f>
        <v>OK</v>
      </c>
      <c r="AC24" s="147" t="str">
        <f t="shared" ref="AC24:AC27" si="17">IF(T24&gt;0,IF(Z24&gt;=$B$12,"OK","No Cumple"),"")</f>
        <v>OK</v>
      </c>
      <c r="AD24" s="147" t="str">
        <f t="shared" ref="AD24:AD27" si="18">IF(T24&gt;0,IF(AA24&gt;$B$14,"OK","No Cumple"),"")</f>
        <v>No Cumple</v>
      </c>
      <c r="AE24" s="148">
        <f t="shared" ref="AE24:AG27" si="19">+IF(AB24="OK",1,0)</f>
        <v>1</v>
      </c>
      <c r="AF24" s="148">
        <f t="shared" si="19"/>
        <v>1</v>
      </c>
      <c r="AG24" s="148">
        <f t="shared" si="19"/>
        <v>0</v>
      </c>
      <c r="AH24" s="148">
        <f t="shared" ref="AH24:AH27" si="20">SUM(AE24:AG24)</f>
        <v>2</v>
      </c>
      <c r="AI24" s="147">
        <f t="shared" ref="AI24:AI27" si="21">IF(AH24=3,2*$B$7+U24,0)</f>
        <v>0</v>
      </c>
      <c r="AJ24" s="149">
        <f>IF(AI24&gt;0,I24*VLOOKUP(T24,'$ alcantarillado'!$I$6:$K$22,3),0)</f>
        <v>0</v>
      </c>
      <c r="AK24" s="149">
        <f t="shared" si="6"/>
        <v>0</v>
      </c>
      <c r="AL24" s="149">
        <f t="shared" si="7"/>
        <v>0</v>
      </c>
      <c r="AM24" s="149">
        <f t="shared" ref="AM24:AM87" si="22">IF(AJ24&gt;0,AJ24+AK24+AL24,0)</f>
        <v>0</v>
      </c>
      <c r="AN24" s="142">
        <v>0</v>
      </c>
      <c r="AO24" s="150" t="str">
        <f t="shared" si="8"/>
        <v/>
      </c>
      <c r="AP24" s="226"/>
      <c r="AQ24" s="142">
        <v>1</v>
      </c>
      <c r="AR24" s="165">
        <v>1</v>
      </c>
    </row>
    <row r="25" spans="1:44" x14ac:dyDescent="0.25">
      <c r="A25" s="230"/>
      <c r="B25" s="230"/>
      <c r="C25" s="230"/>
      <c r="D25" s="230"/>
      <c r="E25" s="151">
        <v>3</v>
      </c>
      <c r="F25" s="128">
        <f>+F24-$B$15</f>
        <v>47.849999999999994</v>
      </c>
      <c r="G25" s="151">
        <v>1</v>
      </c>
      <c r="H25" s="142">
        <f t="shared" ref="H25:H26" si="23">+H24</f>
        <v>47.75</v>
      </c>
      <c r="I25" s="142">
        <f t="shared" ref="I25:K26" si="24">+I24</f>
        <v>80</v>
      </c>
      <c r="J25" s="143">
        <f t="shared" si="9"/>
        <v>1.2499999999999289E-3</v>
      </c>
      <c r="K25" s="142">
        <f t="shared" si="24"/>
        <v>158</v>
      </c>
      <c r="L25" s="128">
        <f t="shared" si="10"/>
        <v>5.1920402377148429</v>
      </c>
      <c r="M25" s="144">
        <f t="shared" si="11"/>
        <v>5.1920402377148428E-3</v>
      </c>
      <c r="N25" s="144">
        <f t="shared" si="0"/>
        <v>0.13410267267565754</v>
      </c>
      <c r="O25" s="144">
        <f t="shared" si="1"/>
        <v>5.2796327825062024</v>
      </c>
      <c r="P25" s="145">
        <f t="shared" si="12"/>
        <v>6</v>
      </c>
      <c r="Q25" s="113">
        <f>IF(O25&gt;0,VLOOKUP(P25,'$ alcantarillado'!$I$5:$L$22,4,FALSE),"0")</f>
        <v>0.14499999999999999</v>
      </c>
      <c r="R25" s="113">
        <f t="shared" si="2"/>
        <v>6.3946910389487679E-3</v>
      </c>
      <c r="S25" s="146">
        <f t="shared" si="3"/>
        <v>0.81192980334642872</v>
      </c>
      <c r="T25" s="145">
        <f>+IF(S25&gt;$B$13,VLOOKUP(P25,'$ alcantarillado'!$I$6:$N$22,5),P25)</f>
        <v>6</v>
      </c>
      <c r="U25" s="113">
        <f>IF(O25&gt;0,VLOOKUP(T25,'$ alcantarillado'!$I$5:$L$22,4),"0")</f>
        <v>0.14499999999999999</v>
      </c>
      <c r="V25" s="113">
        <f t="shared" si="4"/>
        <v>6.3946910389487679E-3</v>
      </c>
      <c r="W25" s="146">
        <f t="shared" si="5"/>
        <v>0.81192980334642872</v>
      </c>
      <c r="X25" s="146">
        <f t="shared" si="13"/>
        <v>0.38725200985270652</v>
      </c>
      <c r="Y25" s="113">
        <f>IF(T25&gt;0,(VLOOKUP($W25,Relaciones!$A$4:$D$108,2)),"")</f>
        <v>0.98699999999999999</v>
      </c>
      <c r="Z25" s="146">
        <f t="shared" si="14"/>
        <v>0.38221773372462131</v>
      </c>
      <c r="AA25" s="146">
        <f t="shared" si="15"/>
        <v>4.5312499999997424E-2</v>
      </c>
      <c r="AB25" s="147" t="str">
        <f t="shared" si="16"/>
        <v>OK</v>
      </c>
      <c r="AC25" s="147" t="str">
        <f t="shared" si="17"/>
        <v>No Cumple</v>
      </c>
      <c r="AD25" s="147" t="str">
        <f t="shared" si="18"/>
        <v>No Cumple</v>
      </c>
      <c r="AE25" s="148">
        <f t="shared" si="19"/>
        <v>1</v>
      </c>
      <c r="AF25" s="148">
        <f t="shared" si="19"/>
        <v>0</v>
      </c>
      <c r="AG25" s="148">
        <f t="shared" si="19"/>
        <v>0</v>
      </c>
      <c r="AH25" s="148">
        <f t="shared" si="20"/>
        <v>1</v>
      </c>
      <c r="AI25" s="147">
        <f t="shared" si="21"/>
        <v>0</v>
      </c>
      <c r="AJ25" s="149">
        <f>IF(AI25&gt;0,I25*VLOOKUP(T25,'$ alcantarillado'!$I$6:$K$22,3),0)</f>
        <v>0</v>
      </c>
      <c r="AK25" s="149">
        <f t="shared" si="6"/>
        <v>0</v>
      </c>
      <c r="AL25" s="149">
        <f t="shared" si="7"/>
        <v>0</v>
      </c>
      <c r="AM25" s="149">
        <f t="shared" si="22"/>
        <v>0</v>
      </c>
      <c r="AN25" s="142">
        <v>0</v>
      </c>
      <c r="AO25" s="150" t="str">
        <f t="shared" si="8"/>
        <v/>
      </c>
      <c r="AP25" s="227"/>
      <c r="AQ25" s="142"/>
      <c r="AR25" s="165"/>
    </row>
    <row r="26" spans="1:44" x14ac:dyDescent="0.25">
      <c r="A26" s="230"/>
      <c r="B26" s="230"/>
      <c r="C26" s="230"/>
      <c r="D26" s="230"/>
      <c r="E26" s="151">
        <v>4</v>
      </c>
      <c r="F26" s="128">
        <f>+F25-$B$15</f>
        <v>47.724999999999994</v>
      </c>
      <c r="G26" s="151">
        <v>1</v>
      </c>
      <c r="H26" s="142">
        <f t="shared" si="23"/>
        <v>47.75</v>
      </c>
      <c r="I26" s="142">
        <f t="shared" si="24"/>
        <v>80</v>
      </c>
      <c r="J26" s="143">
        <f>+(F26-H26)/I26</f>
        <v>-3.1250000000007108E-4</v>
      </c>
      <c r="K26" s="142">
        <f t="shared" si="24"/>
        <v>158</v>
      </c>
      <c r="L26" s="128">
        <f t="shared" si="10"/>
        <v>5.1920402377148429</v>
      </c>
      <c r="M26" s="144">
        <f t="shared" si="11"/>
        <v>5.1920402377148428E-3</v>
      </c>
      <c r="N26" s="144">
        <f t="shared" si="0"/>
        <v>0</v>
      </c>
      <c r="O26" s="144">
        <f t="shared" si="1"/>
        <v>0</v>
      </c>
      <c r="P26" s="145">
        <f t="shared" si="12"/>
        <v>0</v>
      </c>
      <c r="Q26" s="113" t="str">
        <f>IF(O26&gt;0,VLOOKUP(P26,'$ alcantarillado'!$I$5:$L$22,4,FALSE),"0")</f>
        <v>0</v>
      </c>
      <c r="R26" s="113" t="str">
        <f t="shared" si="2"/>
        <v/>
      </c>
      <c r="S26" s="146">
        <f t="shared" si="3"/>
        <v>0</v>
      </c>
      <c r="T26" s="145">
        <f>+IF(S26&gt;$B$13,VLOOKUP(P26,'$ alcantarillado'!$I$6:$N$22,5),P26)</f>
        <v>0</v>
      </c>
      <c r="U26" s="113" t="str">
        <f>IF(O26&gt;0,VLOOKUP(T26,'$ alcantarillado'!$I$5:$L$22,4),"0")</f>
        <v>0</v>
      </c>
      <c r="V26" s="113" t="str">
        <f t="shared" si="4"/>
        <v/>
      </c>
      <c r="W26" s="146">
        <f t="shared" si="5"/>
        <v>0</v>
      </c>
      <c r="X26" s="146" t="str">
        <f t="shared" si="13"/>
        <v/>
      </c>
      <c r="Y26" s="113" t="str">
        <f>IF(T26&gt;0,(VLOOKUP($W26,Relaciones!$A$4:$D$108,2)),"")</f>
        <v/>
      </c>
      <c r="Z26" s="146" t="str">
        <f t="shared" si="14"/>
        <v/>
      </c>
      <c r="AA26" s="146" t="str">
        <f t="shared" si="15"/>
        <v/>
      </c>
      <c r="AB26" s="147" t="str">
        <f t="shared" si="16"/>
        <v/>
      </c>
      <c r="AC26" s="147" t="str">
        <f t="shared" si="17"/>
        <v/>
      </c>
      <c r="AD26" s="147" t="str">
        <f t="shared" si="18"/>
        <v/>
      </c>
      <c r="AE26" s="148">
        <f t="shared" si="19"/>
        <v>0</v>
      </c>
      <c r="AF26" s="148">
        <f t="shared" si="19"/>
        <v>0</v>
      </c>
      <c r="AG26" s="148">
        <f t="shared" si="19"/>
        <v>0</v>
      </c>
      <c r="AH26" s="148">
        <f t="shared" si="20"/>
        <v>0</v>
      </c>
      <c r="AI26" s="147">
        <f t="shared" si="21"/>
        <v>0</v>
      </c>
      <c r="AJ26" s="149">
        <f>IF(AI26&gt;0,I26*VLOOKUP(T26,'$ alcantarillado'!$I$6:$K$22,3),0)</f>
        <v>0</v>
      </c>
      <c r="AK26" s="149">
        <f t="shared" si="6"/>
        <v>0</v>
      </c>
      <c r="AL26" s="149">
        <f t="shared" si="7"/>
        <v>0</v>
      </c>
      <c r="AM26" s="149">
        <f t="shared" si="22"/>
        <v>0</v>
      </c>
      <c r="AN26" s="142">
        <v>0</v>
      </c>
      <c r="AO26" s="150" t="str">
        <f t="shared" si="8"/>
        <v/>
      </c>
      <c r="AP26" s="227"/>
      <c r="AQ26" s="142"/>
      <c r="AR26" s="165"/>
    </row>
    <row r="27" spans="1:44" ht="15.75" thickBot="1" x14ac:dyDescent="0.3">
      <c r="A27" s="230"/>
      <c r="B27" s="230"/>
      <c r="C27" s="230"/>
      <c r="D27" s="230"/>
      <c r="E27" s="152">
        <v>5</v>
      </c>
      <c r="F27" s="153">
        <f>+F26-$B$15</f>
        <v>47.599999999999994</v>
      </c>
      <c r="G27" s="152">
        <v>1</v>
      </c>
      <c r="H27" s="154">
        <f>+H26</f>
        <v>47.75</v>
      </c>
      <c r="I27" s="154">
        <f>+I26</f>
        <v>80</v>
      </c>
      <c r="J27" s="155">
        <f t="shared" si="9"/>
        <v>-1.8750000000000711E-3</v>
      </c>
      <c r="K27" s="154">
        <f>+K26</f>
        <v>158</v>
      </c>
      <c r="L27" s="153">
        <f t="shared" si="10"/>
        <v>5.1920402377148429</v>
      </c>
      <c r="M27" s="156">
        <f t="shared" si="11"/>
        <v>5.1920402377148428E-3</v>
      </c>
      <c r="N27" s="156">
        <f t="shared" si="0"/>
        <v>0</v>
      </c>
      <c r="O27" s="156">
        <f t="shared" si="1"/>
        <v>0</v>
      </c>
      <c r="P27" s="157">
        <f t="shared" si="12"/>
        <v>0</v>
      </c>
      <c r="Q27" s="113" t="str">
        <f>IF(O27&gt;0,VLOOKUP(P27,'$ alcantarillado'!$I$5:$L$22,4,FALSE),"0")</f>
        <v>0</v>
      </c>
      <c r="R27" s="113" t="str">
        <f t="shared" si="2"/>
        <v/>
      </c>
      <c r="S27" s="146">
        <f t="shared" si="3"/>
        <v>0</v>
      </c>
      <c r="T27" s="145">
        <f>+IF(S27&gt;$B$13,VLOOKUP(P27,'$ alcantarillado'!$I$6:$N$22,5),P27)</f>
        <v>0</v>
      </c>
      <c r="U27" s="113" t="str">
        <f>IF(O27&gt;0,VLOOKUP(T27,'$ alcantarillado'!$I$5:$L$22,4),"0")</f>
        <v>0</v>
      </c>
      <c r="V27" s="113" t="str">
        <f t="shared" si="4"/>
        <v/>
      </c>
      <c r="W27" s="146">
        <f t="shared" si="5"/>
        <v>0</v>
      </c>
      <c r="X27" s="146" t="str">
        <f t="shared" si="13"/>
        <v/>
      </c>
      <c r="Y27" s="113" t="str">
        <f>IF(T27&gt;0,(VLOOKUP($W27,Relaciones!$A$4:$D$108,2)),"")</f>
        <v/>
      </c>
      <c r="Z27" s="146" t="str">
        <f t="shared" si="14"/>
        <v/>
      </c>
      <c r="AA27" s="146" t="str">
        <f t="shared" si="15"/>
        <v/>
      </c>
      <c r="AB27" s="147" t="str">
        <f t="shared" si="16"/>
        <v/>
      </c>
      <c r="AC27" s="147" t="str">
        <f t="shared" si="17"/>
        <v/>
      </c>
      <c r="AD27" s="147" t="str">
        <f t="shared" si="18"/>
        <v/>
      </c>
      <c r="AE27" s="148">
        <f t="shared" si="19"/>
        <v>0</v>
      </c>
      <c r="AF27" s="148">
        <f t="shared" si="19"/>
        <v>0</v>
      </c>
      <c r="AG27" s="148">
        <f t="shared" si="19"/>
        <v>0</v>
      </c>
      <c r="AH27" s="148">
        <f t="shared" si="20"/>
        <v>0</v>
      </c>
      <c r="AI27" s="147">
        <f t="shared" si="21"/>
        <v>0</v>
      </c>
      <c r="AJ27" s="158">
        <f>IF(AI27&gt;0,I27*VLOOKUP(T27,'$ alcantarillado'!$I$6:$K$22,3),0)</f>
        <v>0</v>
      </c>
      <c r="AK27" s="158">
        <f t="shared" si="6"/>
        <v>0</v>
      </c>
      <c r="AL27" s="158">
        <f t="shared" si="7"/>
        <v>0</v>
      </c>
      <c r="AM27" s="158">
        <f t="shared" si="22"/>
        <v>0</v>
      </c>
      <c r="AN27" s="154">
        <v>0</v>
      </c>
      <c r="AO27" s="159" t="str">
        <f t="shared" si="8"/>
        <v/>
      </c>
      <c r="AP27" s="228"/>
      <c r="AQ27" s="154"/>
      <c r="AR27" s="166"/>
    </row>
    <row r="28" spans="1:44" x14ac:dyDescent="0.25">
      <c r="A28" s="230"/>
      <c r="B28" s="230"/>
      <c r="C28" s="230"/>
      <c r="D28" s="230"/>
      <c r="E28" s="127">
        <v>1</v>
      </c>
      <c r="F28" s="132">
        <f t="shared" ref="F28:F47" si="25">+F23</f>
        <v>48.099999999999994</v>
      </c>
      <c r="G28" s="127">
        <v>2</v>
      </c>
      <c r="H28" s="146">
        <f>+H33+$B$15</f>
        <v>47.625</v>
      </c>
      <c r="I28" s="142">
        <f>+I27</f>
        <v>80</v>
      </c>
      <c r="J28" s="143">
        <f>+(F28-H28)/I28</f>
        <v>5.9374999999999289E-3</v>
      </c>
      <c r="K28" s="142">
        <f>+K27</f>
        <v>158</v>
      </c>
      <c r="L28" s="132">
        <f>IF(K28&lt;38,K28^0.3686*0.7401,IF(K28&lt;235,K28^0.4193*0.6215,IF(K28&lt;932,K28*0.0092+4.2493,K28*0.0069+6.7345)))</f>
        <v>5.1920402377148429</v>
      </c>
      <c r="M28" s="133">
        <f>+L28/1000</f>
        <v>5.1920402377148428E-3</v>
      </c>
      <c r="N28" s="133">
        <f t="shared" si="0"/>
        <v>0.10012842426186469</v>
      </c>
      <c r="O28" s="133">
        <f t="shared" si="1"/>
        <v>3.9420639473175076</v>
      </c>
      <c r="P28" s="134">
        <f t="shared" si="12"/>
        <v>6</v>
      </c>
      <c r="Q28" s="135">
        <f>IF(O28&gt;0,VLOOKUP(P28,'$ alcantarillado'!$I$5:$L$22,4,FALSE),"0")</f>
        <v>0.14499999999999999</v>
      </c>
      <c r="R28" s="135">
        <f t="shared" si="2"/>
        <v>1.3936906006971714E-2</v>
      </c>
      <c r="S28" s="136">
        <f t="shared" si="3"/>
        <v>0.37253894337219523</v>
      </c>
      <c r="T28" s="134">
        <f>+IF(S28&gt;$B$13,VLOOKUP(P28,'$ alcantarillado'!$I$6:$N$22,5),P28)</f>
        <v>6</v>
      </c>
      <c r="U28" s="135">
        <f>IF(O28&gt;0,VLOOKUP(T28,'$ alcantarillado'!$I$5:$L$22,4),"0")</f>
        <v>0.14499999999999999</v>
      </c>
      <c r="V28" s="135">
        <f t="shared" si="4"/>
        <v>1.3936906006971714E-2</v>
      </c>
      <c r="W28" s="136">
        <f t="shared" si="5"/>
        <v>0.37253894337219523</v>
      </c>
      <c r="X28" s="136">
        <f>IF(T28&gt;0,4*V28/(PI()*(U28)^2),"")</f>
        <v>0.84399618831550161</v>
      </c>
      <c r="Y28" s="135">
        <f>IF(T28&gt;0,(VLOOKUP($W28,Relaciones!$A$4:$D$108,2)),"")</f>
        <v>0.77600000000000002</v>
      </c>
      <c r="Z28" s="136">
        <f>IF(T28&gt;0,Y28*X28,"")</f>
        <v>0.65494104213282922</v>
      </c>
      <c r="AA28" s="136">
        <f>IF(T28&gt;0,250*U28*J28,"")</f>
        <v>0.21523437499999742</v>
      </c>
      <c r="AB28" s="137" t="str">
        <f>IF(T28&gt;0,IF(W28&lt;=$B$13,"OK","No Cumple"),"")</f>
        <v>OK</v>
      </c>
      <c r="AC28" s="137" t="str">
        <f>IF(T28&gt;0,IF(Z28&gt;=$B$12,"OK","No Cumple"),"")</f>
        <v>OK</v>
      </c>
      <c r="AD28" s="137" t="str">
        <f>IF(T28&gt;0,IF(AA28&gt;$B$14,"OK","No Cumple"),"")</f>
        <v>OK</v>
      </c>
      <c r="AE28" s="138">
        <f>+IF(AB28="OK",1,0)</f>
        <v>1</v>
      </c>
      <c r="AF28" s="138">
        <f>+IF(AC28="OK",1,0)</f>
        <v>1</v>
      </c>
      <c r="AG28" s="138">
        <f>+IF(AD28="OK",1,0)</f>
        <v>1</v>
      </c>
      <c r="AH28" s="138">
        <f>SUM(AE28:AG28)</f>
        <v>3</v>
      </c>
      <c r="AI28" s="137">
        <f>IF(AH28=3,2*$B$7+U28,0)</f>
        <v>0.64500000000000002</v>
      </c>
      <c r="AJ28" s="139">
        <f>IF(AI28&gt;0,I28*VLOOKUP(T28,'$ alcantarillado'!$I$6:$K$22,3),0)</f>
        <v>1912173.3333333335</v>
      </c>
      <c r="AK28" s="139">
        <f t="shared" si="6"/>
        <v>2048004.0000000042</v>
      </c>
      <c r="AL28" s="139">
        <f t="shared" si="7"/>
        <v>938784.44500000204</v>
      </c>
      <c r="AM28" s="139">
        <f>IF(AJ28&gt;0,AJ28+AK28+AL28,0)</f>
        <v>4898961.7783333398</v>
      </c>
      <c r="AN28" s="129">
        <v>0</v>
      </c>
      <c r="AO28" s="140">
        <f t="shared" si="8"/>
        <v>4898961.7783333398</v>
      </c>
      <c r="AP28" s="232">
        <f>+MIN(AO28:AO32)</f>
        <v>4898961.7783333398</v>
      </c>
      <c r="AQ28" s="142"/>
      <c r="AR28" s="165"/>
    </row>
    <row r="29" spans="1:44" x14ac:dyDescent="0.25">
      <c r="A29" s="230"/>
      <c r="B29" s="230"/>
      <c r="C29" s="230"/>
      <c r="D29" s="230"/>
      <c r="E29" s="141">
        <v>2</v>
      </c>
      <c r="F29" s="128">
        <f t="shared" si="25"/>
        <v>47.974999999999994</v>
      </c>
      <c r="G29" s="141">
        <v>2</v>
      </c>
      <c r="H29" s="146">
        <f>+H28</f>
        <v>47.625</v>
      </c>
      <c r="I29" s="142">
        <f>+I28</f>
        <v>80</v>
      </c>
      <c r="J29" s="143">
        <f t="shared" si="9"/>
        <v>4.3749999999999293E-3</v>
      </c>
      <c r="K29" s="142">
        <f>+K28</f>
        <v>158</v>
      </c>
      <c r="L29" s="128">
        <f t="shared" si="10"/>
        <v>5.1920402377148429</v>
      </c>
      <c r="M29" s="144">
        <f t="shared" si="11"/>
        <v>5.1920402377148428E-3</v>
      </c>
      <c r="N29" s="144">
        <f t="shared" si="0"/>
        <v>0.10602900237114536</v>
      </c>
      <c r="O29" s="144">
        <f t="shared" si="1"/>
        <v>4.1743701720923374</v>
      </c>
      <c r="P29" s="145">
        <f t="shared" si="12"/>
        <v>6</v>
      </c>
      <c r="Q29" s="113">
        <f>IF(O29&gt;0,VLOOKUP(P29,'$ alcantarillado'!$I$5:$L$22,4,FALSE),"0")</f>
        <v>0.14499999999999999</v>
      </c>
      <c r="R29" s="113">
        <f t="shared" si="2"/>
        <v>1.1963371481010138E-2</v>
      </c>
      <c r="S29" s="146">
        <f t="shared" si="3"/>
        <v>0.43399473517614517</v>
      </c>
      <c r="T29" s="145">
        <f>+IF(S29&gt;$B$13,VLOOKUP(P29,'$ alcantarillado'!$I$6:$N$22,5),P29)</f>
        <v>6</v>
      </c>
      <c r="U29" s="113">
        <f>IF(O29&gt;0,VLOOKUP(T29,'$ alcantarillado'!$I$5:$L$22,4),"0")</f>
        <v>0.14499999999999999</v>
      </c>
      <c r="V29" s="113">
        <f t="shared" si="4"/>
        <v>1.1963371481010138E-2</v>
      </c>
      <c r="W29" s="146">
        <f t="shared" si="5"/>
        <v>0.43399473517614517</v>
      </c>
      <c r="X29" s="146">
        <f t="shared" ref="X29:X32" si="26">IF(T29&gt;0,4*V29/(PI()*(U29)^2),"")</f>
        <v>0.72448217160423212</v>
      </c>
      <c r="Y29" s="113">
        <f>IF(T29&gt;0,(VLOOKUP($W29,Relaciones!$A$4:$D$108,2)),"")</f>
        <v>0.81</v>
      </c>
      <c r="Z29" s="146">
        <f t="shared" ref="Z29:Z32" si="27">IF(T29&gt;0,Y29*X29,"")</f>
        <v>0.58683055899942804</v>
      </c>
      <c r="AA29" s="146">
        <f t="shared" ref="AA29:AA32" si="28">IF(T29&gt;0,250*U29*J29,"")</f>
        <v>0.15859374999999742</v>
      </c>
      <c r="AB29" s="147" t="str">
        <f t="shared" ref="AB29:AB32" si="29">IF(T29&gt;0,IF(W29&lt;=$B$13,"OK","No Cumple"),"")</f>
        <v>OK</v>
      </c>
      <c r="AC29" s="147" t="str">
        <f t="shared" ref="AC29:AC32" si="30">IF(T29&gt;0,IF(Z29&gt;=$B$12,"OK","No Cumple"),"")</f>
        <v>OK</v>
      </c>
      <c r="AD29" s="147" t="str">
        <f t="shared" ref="AD29:AD32" si="31">IF(T29&gt;0,IF(AA29&gt;$B$14,"OK","No Cumple"),"")</f>
        <v>OK</v>
      </c>
      <c r="AE29" s="148">
        <f t="shared" ref="AE29:AG32" si="32">+IF(AB29="OK",1,0)</f>
        <v>1</v>
      </c>
      <c r="AF29" s="148">
        <f t="shared" si="32"/>
        <v>1</v>
      </c>
      <c r="AG29" s="148">
        <f t="shared" si="32"/>
        <v>1</v>
      </c>
      <c r="AH29" s="148">
        <f t="shared" ref="AH29:AH32" si="33">SUM(AE29:AG29)</f>
        <v>3</v>
      </c>
      <c r="AI29" s="147">
        <f t="shared" ref="AI29:AI32" si="34">IF(AH29=3,2*$B$7+U29,0)</f>
        <v>0.64500000000000002</v>
      </c>
      <c r="AJ29" s="149">
        <f>IF(AI29&gt;0,I29*VLOOKUP(T29,'$ alcantarillado'!$I$6:$K$22,3),0)</f>
        <v>1912173.3333333335</v>
      </c>
      <c r="AK29" s="149">
        <f t="shared" si="6"/>
        <v>2164104.0000000042</v>
      </c>
      <c r="AL29" s="149">
        <f t="shared" si="7"/>
        <v>1026032.070000002</v>
      </c>
      <c r="AM29" s="149">
        <f t="shared" si="22"/>
        <v>5102309.4033333398</v>
      </c>
      <c r="AN29" s="142">
        <v>0</v>
      </c>
      <c r="AO29" s="150">
        <f t="shared" si="8"/>
        <v>5102309.4033333398</v>
      </c>
      <c r="AP29" s="218"/>
      <c r="AQ29" s="142">
        <v>1</v>
      </c>
      <c r="AR29" s="165">
        <v>2</v>
      </c>
    </row>
    <row r="30" spans="1:44" x14ac:dyDescent="0.25">
      <c r="A30" s="230"/>
      <c r="B30" s="230"/>
      <c r="C30" s="230"/>
      <c r="D30" s="230"/>
      <c r="E30" s="151">
        <v>3</v>
      </c>
      <c r="F30" s="128">
        <f t="shared" si="25"/>
        <v>47.849999999999994</v>
      </c>
      <c r="G30" s="151">
        <v>2</v>
      </c>
      <c r="H30" s="146">
        <f t="shared" ref="H30:H31" si="35">+H29</f>
        <v>47.625</v>
      </c>
      <c r="I30" s="142">
        <f t="shared" ref="I30:I31" si="36">+I29</f>
        <v>80</v>
      </c>
      <c r="J30" s="143">
        <f t="shared" si="9"/>
        <v>2.8124999999999288E-3</v>
      </c>
      <c r="K30" s="142">
        <f t="shared" ref="K30:K31" si="37">+K29</f>
        <v>158</v>
      </c>
      <c r="L30" s="128">
        <f t="shared" si="10"/>
        <v>5.1920402377148429</v>
      </c>
      <c r="M30" s="144">
        <f t="shared" si="11"/>
        <v>5.1920402377148428E-3</v>
      </c>
      <c r="N30" s="144">
        <f t="shared" si="0"/>
        <v>0.11518693207929813</v>
      </c>
      <c r="O30" s="144">
        <f t="shared" si="1"/>
        <v>4.5349185857991392</v>
      </c>
      <c r="P30" s="145">
        <f t="shared" si="12"/>
        <v>6</v>
      </c>
      <c r="Q30" s="113">
        <f>IF(O30&gt;0,VLOOKUP(P30,'$ alcantarillado'!$I$5:$L$22,4,FALSE),"0")</f>
        <v>0.14499999999999999</v>
      </c>
      <c r="R30" s="113">
        <f t="shared" si="2"/>
        <v>9.5920365584233041E-3</v>
      </c>
      <c r="S30" s="146">
        <f t="shared" si="3"/>
        <v>0.54128653556427719</v>
      </c>
      <c r="T30" s="145">
        <f>+IF(S30&gt;$B$13,VLOOKUP(P30,'$ alcantarillado'!$I$6:$N$22,5),P30)</f>
        <v>6</v>
      </c>
      <c r="U30" s="113">
        <f>IF(O30&gt;0,VLOOKUP(T30,'$ alcantarillado'!$I$5:$L$22,4),"0")</f>
        <v>0.14499999999999999</v>
      </c>
      <c r="V30" s="113">
        <f t="shared" si="4"/>
        <v>9.5920365584233041E-3</v>
      </c>
      <c r="W30" s="146">
        <f t="shared" si="5"/>
        <v>0.54128653556427719</v>
      </c>
      <c r="X30" s="146">
        <f t="shared" si="26"/>
        <v>0.58087801477906897</v>
      </c>
      <c r="Y30" s="113">
        <f>IF(T30&gt;0,(VLOOKUP($W30,Relaciones!$A$4:$D$108,2)),"")</f>
        <v>0.87</v>
      </c>
      <c r="Z30" s="146">
        <f t="shared" si="27"/>
        <v>0.50536387285779005</v>
      </c>
      <c r="AA30" s="146">
        <f t="shared" si="28"/>
        <v>0.10195312499999742</v>
      </c>
      <c r="AB30" s="147" t="str">
        <f t="shared" si="29"/>
        <v>OK</v>
      </c>
      <c r="AC30" s="147" t="str">
        <f t="shared" si="30"/>
        <v>OK</v>
      </c>
      <c r="AD30" s="147" t="str">
        <f t="shared" si="31"/>
        <v>No Cumple</v>
      </c>
      <c r="AE30" s="148">
        <f t="shared" si="32"/>
        <v>1</v>
      </c>
      <c r="AF30" s="148">
        <f t="shared" si="32"/>
        <v>1</v>
      </c>
      <c r="AG30" s="148">
        <f t="shared" si="32"/>
        <v>0</v>
      </c>
      <c r="AH30" s="148">
        <f t="shared" si="33"/>
        <v>2</v>
      </c>
      <c r="AI30" s="147">
        <f t="shared" si="34"/>
        <v>0</v>
      </c>
      <c r="AJ30" s="149">
        <f>IF(AI30&gt;0,I30*VLOOKUP(T30,'$ alcantarillado'!$I$6:$K$22,3),0)</f>
        <v>0</v>
      </c>
      <c r="AK30" s="149">
        <f t="shared" si="6"/>
        <v>0</v>
      </c>
      <c r="AL30" s="149">
        <f t="shared" si="7"/>
        <v>0</v>
      </c>
      <c r="AM30" s="149">
        <f t="shared" si="22"/>
        <v>0</v>
      </c>
      <c r="AN30" s="142">
        <v>0</v>
      </c>
      <c r="AO30" s="150" t="str">
        <f t="shared" si="8"/>
        <v/>
      </c>
      <c r="AP30" s="219"/>
      <c r="AQ30" s="142"/>
      <c r="AR30" s="165"/>
    </row>
    <row r="31" spans="1:44" x14ac:dyDescent="0.25">
      <c r="A31" s="230"/>
      <c r="B31" s="230"/>
      <c r="C31" s="230"/>
      <c r="D31" s="230"/>
      <c r="E31" s="151">
        <v>4</v>
      </c>
      <c r="F31" s="128">
        <f t="shared" si="25"/>
        <v>47.724999999999994</v>
      </c>
      <c r="G31" s="151">
        <v>2</v>
      </c>
      <c r="H31" s="146">
        <f t="shared" si="35"/>
        <v>47.625</v>
      </c>
      <c r="I31" s="142">
        <f t="shared" si="36"/>
        <v>80</v>
      </c>
      <c r="J31" s="143">
        <f>+(F31-H31)/I31</f>
        <v>1.2499999999999289E-3</v>
      </c>
      <c r="K31" s="142">
        <f t="shared" si="37"/>
        <v>158</v>
      </c>
      <c r="L31" s="128">
        <f t="shared" si="10"/>
        <v>5.1920402377148429</v>
      </c>
      <c r="M31" s="144">
        <f t="shared" si="11"/>
        <v>5.1920402377148428E-3</v>
      </c>
      <c r="N31" s="144">
        <f t="shared" si="0"/>
        <v>0.13410267267565754</v>
      </c>
      <c r="O31" s="144">
        <f t="shared" si="1"/>
        <v>5.2796327825062024</v>
      </c>
      <c r="P31" s="145">
        <f t="shared" si="12"/>
        <v>6</v>
      </c>
      <c r="Q31" s="113">
        <f>IF(O31&gt;0,VLOOKUP(P31,'$ alcantarillado'!$I$5:$L$22,4,FALSE),"0")</f>
        <v>0.14499999999999999</v>
      </c>
      <c r="R31" s="113">
        <f t="shared" si="2"/>
        <v>6.3946910389487679E-3</v>
      </c>
      <c r="S31" s="146">
        <f t="shared" si="3"/>
        <v>0.81192980334642872</v>
      </c>
      <c r="T31" s="145">
        <f>+IF(S31&gt;$B$13,VLOOKUP(P31,'$ alcantarillado'!$I$6:$N$22,5),P31)</f>
        <v>6</v>
      </c>
      <c r="U31" s="113">
        <f>IF(O31&gt;0,VLOOKUP(T31,'$ alcantarillado'!$I$5:$L$22,4),"0")</f>
        <v>0.14499999999999999</v>
      </c>
      <c r="V31" s="113">
        <f t="shared" si="4"/>
        <v>6.3946910389487679E-3</v>
      </c>
      <c r="W31" s="146">
        <f t="shared" si="5"/>
        <v>0.81192980334642872</v>
      </c>
      <c r="X31" s="146">
        <f t="shared" si="26"/>
        <v>0.38725200985270652</v>
      </c>
      <c r="Y31" s="113">
        <f>IF(T31&gt;0,(VLOOKUP($W31,Relaciones!$A$4:$D$108,2)),"")</f>
        <v>0.98699999999999999</v>
      </c>
      <c r="Z31" s="146">
        <f t="shared" si="27"/>
        <v>0.38221773372462131</v>
      </c>
      <c r="AA31" s="146">
        <f t="shared" si="28"/>
        <v>4.5312499999997424E-2</v>
      </c>
      <c r="AB31" s="147" t="str">
        <f t="shared" si="29"/>
        <v>OK</v>
      </c>
      <c r="AC31" s="147" t="str">
        <f t="shared" si="30"/>
        <v>No Cumple</v>
      </c>
      <c r="AD31" s="147" t="str">
        <f t="shared" si="31"/>
        <v>No Cumple</v>
      </c>
      <c r="AE31" s="148">
        <f t="shared" si="32"/>
        <v>1</v>
      </c>
      <c r="AF31" s="148">
        <f t="shared" si="32"/>
        <v>0</v>
      </c>
      <c r="AG31" s="148">
        <f t="shared" si="32"/>
        <v>0</v>
      </c>
      <c r="AH31" s="148">
        <f t="shared" si="33"/>
        <v>1</v>
      </c>
      <c r="AI31" s="147">
        <f t="shared" si="34"/>
        <v>0</v>
      </c>
      <c r="AJ31" s="149">
        <f>IF(AI31&gt;0,I31*VLOOKUP(T31,'$ alcantarillado'!$I$6:$K$22,3),0)</f>
        <v>0</v>
      </c>
      <c r="AK31" s="149">
        <f t="shared" si="6"/>
        <v>0</v>
      </c>
      <c r="AL31" s="149">
        <f t="shared" si="7"/>
        <v>0</v>
      </c>
      <c r="AM31" s="149">
        <f t="shared" si="22"/>
        <v>0</v>
      </c>
      <c r="AN31" s="142">
        <v>0</v>
      </c>
      <c r="AO31" s="150" t="str">
        <f t="shared" si="8"/>
        <v/>
      </c>
      <c r="AP31" s="219"/>
      <c r="AQ31" s="142"/>
      <c r="AR31" s="165"/>
    </row>
    <row r="32" spans="1:44" ht="15.75" thickBot="1" x14ac:dyDescent="0.3">
      <c r="A32" s="230"/>
      <c r="B32" s="230"/>
      <c r="C32" s="230"/>
      <c r="D32" s="230"/>
      <c r="E32" s="152">
        <v>5</v>
      </c>
      <c r="F32" s="153">
        <f t="shared" si="25"/>
        <v>47.599999999999994</v>
      </c>
      <c r="G32" s="152">
        <v>2</v>
      </c>
      <c r="H32" s="169">
        <f>+H31</f>
        <v>47.625</v>
      </c>
      <c r="I32" s="154">
        <f>+I31</f>
        <v>80</v>
      </c>
      <c r="J32" s="155">
        <f t="shared" si="9"/>
        <v>-3.1250000000007108E-4</v>
      </c>
      <c r="K32" s="154">
        <f>+K31</f>
        <v>158</v>
      </c>
      <c r="L32" s="153">
        <f t="shared" si="10"/>
        <v>5.1920402377148429</v>
      </c>
      <c r="M32" s="156">
        <f t="shared" si="11"/>
        <v>5.1920402377148428E-3</v>
      </c>
      <c r="N32" s="156">
        <f t="shared" si="0"/>
        <v>0</v>
      </c>
      <c r="O32" s="156">
        <f t="shared" si="1"/>
        <v>0</v>
      </c>
      <c r="P32" s="157">
        <f t="shared" si="12"/>
        <v>0</v>
      </c>
      <c r="Q32" s="113" t="str">
        <f>IF(O32&gt;0,VLOOKUP(P32,'$ alcantarillado'!$I$5:$L$22,4,FALSE),"0")</f>
        <v>0</v>
      </c>
      <c r="R32" s="160" t="str">
        <f t="shared" si="2"/>
        <v/>
      </c>
      <c r="S32" s="146">
        <f t="shared" si="3"/>
        <v>0</v>
      </c>
      <c r="T32" s="145">
        <f>+IF(S32&gt;$B$13,VLOOKUP(P32,'$ alcantarillado'!$I$6:$N$22,5),P32)</f>
        <v>0</v>
      </c>
      <c r="U32" s="113" t="str">
        <f>IF(O32&gt;0,VLOOKUP(T32,'$ alcantarillado'!$I$5:$L$22,4),"0")</f>
        <v>0</v>
      </c>
      <c r="V32" s="113" t="str">
        <f t="shared" si="4"/>
        <v/>
      </c>
      <c r="W32" s="146">
        <f t="shared" si="5"/>
        <v>0</v>
      </c>
      <c r="X32" s="146" t="str">
        <f t="shared" si="26"/>
        <v/>
      </c>
      <c r="Y32" s="113" t="str">
        <f>IF(T32&gt;0,(VLOOKUP($W32,Relaciones!$A$4:$D$108,2)),"")</f>
        <v/>
      </c>
      <c r="Z32" s="146" t="str">
        <f t="shared" si="27"/>
        <v/>
      </c>
      <c r="AA32" s="146" t="str">
        <f t="shared" si="28"/>
        <v/>
      </c>
      <c r="AB32" s="147" t="str">
        <f t="shared" si="29"/>
        <v/>
      </c>
      <c r="AC32" s="147" t="str">
        <f t="shared" si="30"/>
        <v/>
      </c>
      <c r="AD32" s="147" t="str">
        <f t="shared" si="31"/>
        <v/>
      </c>
      <c r="AE32" s="148">
        <f t="shared" si="32"/>
        <v>0</v>
      </c>
      <c r="AF32" s="148">
        <f t="shared" si="32"/>
        <v>0</v>
      </c>
      <c r="AG32" s="148">
        <f t="shared" si="32"/>
        <v>0</v>
      </c>
      <c r="AH32" s="148">
        <f t="shared" si="33"/>
        <v>0</v>
      </c>
      <c r="AI32" s="147">
        <f t="shared" si="34"/>
        <v>0</v>
      </c>
      <c r="AJ32" s="158">
        <f>IF(AI32&gt;0,I32*VLOOKUP(T32,'$ alcantarillado'!$I$6:$K$22,3),0)</f>
        <v>0</v>
      </c>
      <c r="AK32" s="158">
        <f t="shared" si="6"/>
        <v>0</v>
      </c>
      <c r="AL32" s="158">
        <f t="shared" si="7"/>
        <v>0</v>
      </c>
      <c r="AM32" s="158">
        <f t="shared" si="22"/>
        <v>0</v>
      </c>
      <c r="AN32" s="154">
        <v>0</v>
      </c>
      <c r="AO32" s="159" t="str">
        <f t="shared" si="8"/>
        <v/>
      </c>
      <c r="AP32" s="220"/>
      <c r="AQ32" s="154"/>
      <c r="AR32" s="166"/>
    </row>
    <row r="33" spans="1:44" x14ac:dyDescent="0.25">
      <c r="A33" s="230"/>
      <c r="B33" s="230"/>
      <c r="C33" s="230"/>
      <c r="D33" s="230"/>
      <c r="E33" s="127">
        <v>1</v>
      </c>
      <c r="F33" s="132">
        <f t="shared" si="25"/>
        <v>48.099999999999994</v>
      </c>
      <c r="G33" s="127">
        <v>3</v>
      </c>
      <c r="H33" s="129">
        <f>+'LOGIKA AN-1'!H23</f>
        <v>47.5</v>
      </c>
      <c r="I33" s="129">
        <f t="shared" ref="I33:K33" si="38">+I32</f>
        <v>80</v>
      </c>
      <c r="J33" s="143">
        <f>+(F33-H33)/I33</f>
        <v>7.4999999999999286E-3</v>
      </c>
      <c r="K33" s="129">
        <f t="shared" si="38"/>
        <v>158</v>
      </c>
      <c r="L33" s="132">
        <f>IF(K33&lt;38,K33^0.3686*0.7401,IF(K33&lt;235,K33^0.4193*0.6215,IF(K33&lt;932,K33*0.0092+4.2493,K33*0.0069+6.7345)))</f>
        <v>5.1920402377148429</v>
      </c>
      <c r="M33" s="133">
        <f>+L33/1000</f>
        <v>5.1920402377148428E-3</v>
      </c>
      <c r="N33" s="133">
        <f t="shared" si="0"/>
        <v>9.58371905595157E-2</v>
      </c>
      <c r="O33" s="133">
        <f t="shared" si="1"/>
        <v>3.7731177385636103</v>
      </c>
      <c r="P33" s="134">
        <f t="shared" si="12"/>
        <v>6</v>
      </c>
      <c r="Q33" s="135">
        <f>IF(O33&gt;0,VLOOKUP(P33,'$ alcantarillado'!$I$5:$L$22,4,FALSE),"0")</f>
        <v>0.14499999999999999</v>
      </c>
      <c r="R33" s="135">
        <f t="shared" si="2"/>
        <v>1.5663730108172885E-2</v>
      </c>
      <c r="S33" s="136">
        <f t="shared" si="3"/>
        <v>0.33146895419283212</v>
      </c>
      <c r="T33" s="134">
        <f>+IF(S33&gt;$B$13,VLOOKUP(P33,'$ alcantarillado'!$I$6:$N$22,5),P33)</f>
        <v>6</v>
      </c>
      <c r="U33" s="135">
        <f>IF(O33&gt;0,VLOOKUP(T33,'$ alcantarillado'!$I$5:$L$22,4),"0")</f>
        <v>0.14499999999999999</v>
      </c>
      <c r="V33" s="135">
        <f t="shared" si="4"/>
        <v>1.5663730108172885E-2</v>
      </c>
      <c r="W33" s="136">
        <f t="shared" si="5"/>
        <v>0.33146895419283212</v>
      </c>
      <c r="X33" s="136">
        <f>IF(T33&gt;0,4*V33/(PI()*(U33)^2),"")</f>
        <v>0.9485698260063975</v>
      </c>
      <c r="Y33" s="135">
        <f>IF(T33&gt;0,(VLOOKUP($W33,Relaciones!$A$4:$D$108,2)),"")</f>
        <v>0.75</v>
      </c>
      <c r="Z33" s="136">
        <f>IF(T33&gt;0,Y33*X33,"")</f>
        <v>0.71142736950479812</v>
      </c>
      <c r="AA33" s="136">
        <f>IF(T33&gt;0,250*U33*J33,"")</f>
        <v>0.27187499999999742</v>
      </c>
      <c r="AB33" s="137" t="str">
        <f>IF(T33&gt;0,IF(W33&lt;=$B$13,"OK","No Cumple"),"")</f>
        <v>OK</v>
      </c>
      <c r="AC33" s="137" t="str">
        <f>IF(T33&gt;0,IF(Z33&gt;=$B$12,"OK","No Cumple"),"")</f>
        <v>OK</v>
      </c>
      <c r="AD33" s="137" t="str">
        <f>IF(T33&gt;0,IF(AA33&gt;$B$14,"OK","No Cumple"),"")</f>
        <v>OK</v>
      </c>
      <c r="AE33" s="138">
        <f>+IF(AB33="OK",1,0)</f>
        <v>1</v>
      </c>
      <c r="AF33" s="138">
        <f>+IF(AC33="OK",1,0)</f>
        <v>1</v>
      </c>
      <c r="AG33" s="138">
        <f>+IF(AD33="OK",1,0)</f>
        <v>1</v>
      </c>
      <c r="AH33" s="138">
        <f>SUM(AE33:AG33)</f>
        <v>3</v>
      </c>
      <c r="AI33" s="137">
        <f>IF(AH33=3,2*$B$7+U33,0)</f>
        <v>0.64500000000000002</v>
      </c>
      <c r="AJ33" s="139">
        <f>IF(AI33&gt;0,I33*VLOOKUP(T33,'$ alcantarillado'!$I$6:$K$22,3),0)</f>
        <v>1912173.3333333335</v>
      </c>
      <c r="AK33" s="139">
        <f t="shared" si="6"/>
        <v>2106054.0000000042</v>
      </c>
      <c r="AL33" s="139">
        <f t="shared" si="7"/>
        <v>938784.44500000204</v>
      </c>
      <c r="AM33" s="139">
        <f>IF(AJ33&gt;0,AJ33+AK33+AL33,0)</f>
        <v>4957011.7783333398</v>
      </c>
      <c r="AN33" s="129">
        <v>0</v>
      </c>
      <c r="AO33" s="140">
        <f t="shared" si="8"/>
        <v>4957011.7783333398</v>
      </c>
      <c r="AP33" s="232">
        <f>+MIN(AO33:AO37)</f>
        <v>4957011.7783333398</v>
      </c>
      <c r="AQ33" s="129"/>
      <c r="AR33" s="163"/>
    </row>
    <row r="34" spans="1:44" x14ac:dyDescent="0.25">
      <c r="A34" s="230"/>
      <c r="B34" s="230"/>
      <c r="C34" s="230"/>
      <c r="D34" s="230"/>
      <c r="E34" s="141">
        <v>2</v>
      </c>
      <c r="F34" s="128">
        <f t="shared" si="25"/>
        <v>47.974999999999994</v>
      </c>
      <c r="G34" s="141">
        <v>3</v>
      </c>
      <c r="H34" s="142">
        <f>+H33</f>
        <v>47.5</v>
      </c>
      <c r="I34" s="142">
        <f>+I33</f>
        <v>80</v>
      </c>
      <c r="J34" s="143">
        <f t="shared" si="9"/>
        <v>5.9374999999999289E-3</v>
      </c>
      <c r="K34" s="142">
        <f>+K33</f>
        <v>158</v>
      </c>
      <c r="L34" s="128">
        <f t="shared" si="10"/>
        <v>5.1920402377148429</v>
      </c>
      <c r="M34" s="144">
        <f t="shared" si="11"/>
        <v>5.1920402377148428E-3</v>
      </c>
      <c r="N34" s="144">
        <f t="shared" si="0"/>
        <v>0.10012842426186469</v>
      </c>
      <c r="O34" s="144">
        <f t="shared" si="1"/>
        <v>3.9420639473175076</v>
      </c>
      <c r="P34" s="145">
        <f t="shared" si="12"/>
        <v>6</v>
      </c>
      <c r="Q34" s="113">
        <f>IF(O34&gt;0,VLOOKUP(P34,'$ alcantarillado'!$I$5:$L$22,4,FALSE),"0")</f>
        <v>0.14499999999999999</v>
      </c>
      <c r="R34" s="113">
        <f t="shared" si="2"/>
        <v>1.3936906006971714E-2</v>
      </c>
      <c r="S34" s="146">
        <f t="shared" si="3"/>
        <v>0.37253894337219523</v>
      </c>
      <c r="T34" s="145">
        <f>+IF(S34&gt;$B$13,VLOOKUP(P34,'$ alcantarillado'!$I$6:$N$22,5),P34)</f>
        <v>6</v>
      </c>
      <c r="U34" s="113">
        <f>IF(O34&gt;0,VLOOKUP(T34,'$ alcantarillado'!$I$5:$L$22,4),"0")</f>
        <v>0.14499999999999999</v>
      </c>
      <c r="V34" s="113">
        <f t="shared" si="4"/>
        <v>1.3936906006971714E-2</v>
      </c>
      <c r="W34" s="146">
        <f t="shared" si="5"/>
        <v>0.37253894337219523</v>
      </c>
      <c r="X34" s="146">
        <f t="shared" ref="X34:X37" si="39">IF(T34&gt;0,4*V34/(PI()*(U34)^2),"")</f>
        <v>0.84399618831550161</v>
      </c>
      <c r="Y34" s="113">
        <f>IF(T34&gt;0,(VLOOKUP($W34,Relaciones!$A$4:$D$108,2)),"")</f>
        <v>0.77600000000000002</v>
      </c>
      <c r="Z34" s="146">
        <f t="shared" ref="Z34:Z37" si="40">IF(T34&gt;0,Y34*X34,"")</f>
        <v>0.65494104213282922</v>
      </c>
      <c r="AA34" s="146">
        <f t="shared" ref="AA34:AA37" si="41">IF(T34&gt;0,250*U34*J34,"")</f>
        <v>0.21523437499999742</v>
      </c>
      <c r="AB34" s="147" t="str">
        <f t="shared" ref="AB34:AB37" si="42">IF(T34&gt;0,IF(W34&lt;=$B$13,"OK","No Cumple"),"")</f>
        <v>OK</v>
      </c>
      <c r="AC34" s="147" t="str">
        <f t="shared" ref="AC34:AC37" si="43">IF(T34&gt;0,IF(Z34&gt;=$B$12,"OK","No Cumple"),"")</f>
        <v>OK</v>
      </c>
      <c r="AD34" s="147" t="str">
        <f t="shared" ref="AD34:AD37" si="44">IF(T34&gt;0,IF(AA34&gt;$B$14,"OK","No Cumple"),"")</f>
        <v>OK</v>
      </c>
      <c r="AE34" s="148">
        <f t="shared" ref="AE34:AG37" si="45">+IF(AB34="OK",1,0)</f>
        <v>1</v>
      </c>
      <c r="AF34" s="148">
        <f t="shared" si="45"/>
        <v>1</v>
      </c>
      <c r="AG34" s="148">
        <f t="shared" si="45"/>
        <v>1</v>
      </c>
      <c r="AH34" s="148">
        <f t="shared" ref="AH34:AH37" si="46">SUM(AE34:AG34)</f>
        <v>3</v>
      </c>
      <c r="AI34" s="147">
        <f t="shared" ref="AI34:AI37" si="47">IF(AH34=3,2*$B$7+U34,0)</f>
        <v>0.64500000000000002</v>
      </c>
      <c r="AJ34" s="149">
        <f>IF(AI34&gt;0,I34*VLOOKUP(T34,'$ alcantarillado'!$I$6:$K$22,3),0)</f>
        <v>1912173.3333333335</v>
      </c>
      <c r="AK34" s="149">
        <f t="shared" si="6"/>
        <v>2222154.0000000042</v>
      </c>
      <c r="AL34" s="149">
        <f t="shared" si="7"/>
        <v>1026032.070000002</v>
      </c>
      <c r="AM34" s="149">
        <f t="shared" si="22"/>
        <v>5160359.4033333398</v>
      </c>
      <c r="AN34" s="142">
        <v>0</v>
      </c>
      <c r="AO34" s="150">
        <f t="shared" si="8"/>
        <v>5160359.4033333398</v>
      </c>
      <c r="AP34" s="218"/>
      <c r="AQ34" s="142"/>
      <c r="AR34" s="165"/>
    </row>
    <row r="35" spans="1:44" x14ac:dyDescent="0.25">
      <c r="A35" s="230"/>
      <c r="B35" s="230"/>
      <c r="C35" s="230"/>
      <c r="D35" s="230"/>
      <c r="E35" s="151">
        <v>3</v>
      </c>
      <c r="F35" s="128">
        <f t="shared" si="25"/>
        <v>47.849999999999994</v>
      </c>
      <c r="G35" s="141">
        <v>3</v>
      </c>
      <c r="H35" s="142">
        <f t="shared" ref="H35:H36" si="48">+H34</f>
        <v>47.5</v>
      </c>
      <c r="I35" s="142">
        <f t="shared" ref="I35:I36" si="49">+I34</f>
        <v>80</v>
      </c>
      <c r="J35" s="143">
        <f t="shared" si="9"/>
        <v>4.3749999999999293E-3</v>
      </c>
      <c r="K35" s="142">
        <f t="shared" ref="K35:K36" si="50">+K34</f>
        <v>158</v>
      </c>
      <c r="L35" s="128">
        <f t="shared" si="10"/>
        <v>5.1920402377148429</v>
      </c>
      <c r="M35" s="144">
        <f t="shared" si="11"/>
        <v>5.1920402377148428E-3</v>
      </c>
      <c r="N35" s="144">
        <f t="shared" si="0"/>
        <v>0.10602900237114536</v>
      </c>
      <c r="O35" s="144">
        <f t="shared" si="1"/>
        <v>4.1743701720923374</v>
      </c>
      <c r="P35" s="145">
        <f t="shared" si="12"/>
        <v>6</v>
      </c>
      <c r="Q35" s="113">
        <f>IF(O35&gt;0,VLOOKUP(P35,'$ alcantarillado'!$I$5:$L$22,4,FALSE),"0")</f>
        <v>0.14499999999999999</v>
      </c>
      <c r="R35" s="113">
        <f t="shared" si="2"/>
        <v>1.1963371481010138E-2</v>
      </c>
      <c r="S35" s="146">
        <f t="shared" si="3"/>
        <v>0.43399473517614517</v>
      </c>
      <c r="T35" s="145">
        <f>+IF(S35&gt;$B$13,VLOOKUP(P35,'$ alcantarillado'!$I$6:$N$22,5),P35)</f>
        <v>6</v>
      </c>
      <c r="U35" s="113">
        <f>IF(O35&gt;0,VLOOKUP(T35,'$ alcantarillado'!$I$5:$L$22,4),"0")</f>
        <v>0.14499999999999999</v>
      </c>
      <c r="V35" s="113">
        <f t="shared" si="4"/>
        <v>1.1963371481010138E-2</v>
      </c>
      <c r="W35" s="146">
        <f t="shared" si="5"/>
        <v>0.43399473517614517</v>
      </c>
      <c r="X35" s="146">
        <f t="shared" si="39"/>
        <v>0.72448217160423212</v>
      </c>
      <c r="Y35" s="113">
        <f>IF(T35&gt;0,(VLOOKUP($W35,Relaciones!$A$4:$D$108,2)),"")</f>
        <v>0.81</v>
      </c>
      <c r="Z35" s="146">
        <f t="shared" si="40"/>
        <v>0.58683055899942804</v>
      </c>
      <c r="AA35" s="146">
        <f t="shared" si="41"/>
        <v>0.15859374999999742</v>
      </c>
      <c r="AB35" s="147" t="str">
        <f t="shared" si="42"/>
        <v>OK</v>
      </c>
      <c r="AC35" s="147" t="str">
        <f t="shared" si="43"/>
        <v>OK</v>
      </c>
      <c r="AD35" s="147" t="str">
        <f t="shared" si="44"/>
        <v>OK</v>
      </c>
      <c r="AE35" s="148">
        <f t="shared" si="45"/>
        <v>1</v>
      </c>
      <c r="AF35" s="148">
        <f t="shared" si="45"/>
        <v>1</v>
      </c>
      <c r="AG35" s="148">
        <f t="shared" si="45"/>
        <v>1</v>
      </c>
      <c r="AH35" s="148">
        <f t="shared" si="46"/>
        <v>3</v>
      </c>
      <c r="AI35" s="147">
        <f t="shared" si="47"/>
        <v>0.64500000000000002</v>
      </c>
      <c r="AJ35" s="149">
        <f>IF(AI35&gt;0,I35*VLOOKUP(T35,'$ alcantarillado'!$I$6:$K$22,3),0)</f>
        <v>1912173.3333333335</v>
      </c>
      <c r="AK35" s="149">
        <f t="shared" si="6"/>
        <v>2338254.0000000047</v>
      </c>
      <c r="AL35" s="149">
        <f t="shared" si="7"/>
        <v>1113279.6950000019</v>
      </c>
      <c r="AM35" s="149">
        <f t="shared" si="22"/>
        <v>5363707.0283333398</v>
      </c>
      <c r="AN35" s="142">
        <v>0</v>
      </c>
      <c r="AO35" s="150">
        <f t="shared" si="8"/>
        <v>5363707.0283333398</v>
      </c>
      <c r="AP35" s="219"/>
      <c r="AQ35" s="142"/>
      <c r="AR35" s="165"/>
    </row>
    <row r="36" spans="1:44" x14ac:dyDescent="0.25">
      <c r="A36" s="230"/>
      <c r="B36" s="230"/>
      <c r="C36" s="230"/>
      <c r="D36" s="230"/>
      <c r="E36" s="151">
        <v>4</v>
      </c>
      <c r="F36" s="128">
        <f t="shared" si="25"/>
        <v>47.724999999999994</v>
      </c>
      <c r="G36" s="141">
        <v>3</v>
      </c>
      <c r="H36" s="142">
        <f t="shared" si="48"/>
        <v>47.5</v>
      </c>
      <c r="I36" s="142">
        <f t="shared" si="49"/>
        <v>80</v>
      </c>
      <c r="J36" s="143">
        <f>+(F36-H36)/I36</f>
        <v>2.8124999999999288E-3</v>
      </c>
      <c r="K36" s="142">
        <f t="shared" si="50"/>
        <v>158</v>
      </c>
      <c r="L36" s="128">
        <f t="shared" si="10"/>
        <v>5.1920402377148429</v>
      </c>
      <c r="M36" s="144">
        <f t="shared" si="11"/>
        <v>5.1920402377148428E-3</v>
      </c>
      <c r="N36" s="144">
        <f t="shared" si="0"/>
        <v>0.11518693207929813</v>
      </c>
      <c r="O36" s="144">
        <f t="shared" si="1"/>
        <v>4.5349185857991392</v>
      </c>
      <c r="P36" s="145">
        <f t="shared" si="12"/>
        <v>6</v>
      </c>
      <c r="Q36" s="113">
        <f>IF(O36&gt;0,VLOOKUP(P36,'$ alcantarillado'!$I$5:$L$22,4,FALSE),"0")</f>
        <v>0.14499999999999999</v>
      </c>
      <c r="R36" s="113">
        <f t="shared" si="2"/>
        <v>9.5920365584233041E-3</v>
      </c>
      <c r="S36" s="146">
        <f t="shared" si="3"/>
        <v>0.54128653556427719</v>
      </c>
      <c r="T36" s="145">
        <f>+IF(S36&gt;$B$13,VLOOKUP(P36,'$ alcantarillado'!$I$6:$N$22,5),P36)</f>
        <v>6</v>
      </c>
      <c r="U36" s="113">
        <f>IF(O36&gt;0,VLOOKUP(T36,'$ alcantarillado'!$I$5:$L$22,4),"0")</f>
        <v>0.14499999999999999</v>
      </c>
      <c r="V36" s="113">
        <f t="shared" si="4"/>
        <v>9.5920365584233041E-3</v>
      </c>
      <c r="W36" s="146">
        <f t="shared" si="5"/>
        <v>0.54128653556427719</v>
      </c>
      <c r="X36" s="146">
        <f t="shared" si="39"/>
        <v>0.58087801477906897</v>
      </c>
      <c r="Y36" s="113">
        <f>IF(T36&gt;0,(VLOOKUP($W36,Relaciones!$A$4:$D$108,2)),"")</f>
        <v>0.87</v>
      </c>
      <c r="Z36" s="146">
        <f t="shared" si="40"/>
        <v>0.50536387285779005</v>
      </c>
      <c r="AA36" s="146">
        <f t="shared" si="41"/>
        <v>0.10195312499999742</v>
      </c>
      <c r="AB36" s="147" t="str">
        <f t="shared" si="42"/>
        <v>OK</v>
      </c>
      <c r="AC36" s="147" t="str">
        <f t="shared" si="43"/>
        <v>OK</v>
      </c>
      <c r="AD36" s="147" t="str">
        <f t="shared" si="44"/>
        <v>No Cumple</v>
      </c>
      <c r="AE36" s="148">
        <f t="shared" si="45"/>
        <v>1</v>
      </c>
      <c r="AF36" s="148">
        <f t="shared" si="45"/>
        <v>1</v>
      </c>
      <c r="AG36" s="148">
        <f t="shared" si="45"/>
        <v>0</v>
      </c>
      <c r="AH36" s="148">
        <f t="shared" si="46"/>
        <v>2</v>
      </c>
      <c r="AI36" s="147">
        <f t="shared" si="47"/>
        <v>0</v>
      </c>
      <c r="AJ36" s="149">
        <f>IF(AI36&gt;0,I36*VLOOKUP(T36,'$ alcantarillado'!$I$6:$K$22,3),0)</f>
        <v>0</v>
      </c>
      <c r="AK36" s="149">
        <f t="shared" si="6"/>
        <v>0</v>
      </c>
      <c r="AL36" s="149">
        <f t="shared" si="7"/>
        <v>0</v>
      </c>
      <c r="AM36" s="149">
        <f t="shared" si="22"/>
        <v>0</v>
      </c>
      <c r="AN36" s="142">
        <v>0</v>
      </c>
      <c r="AO36" s="150" t="str">
        <f t="shared" si="8"/>
        <v/>
      </c>
      <c r="AP36" s="219"/>
      <c r="AQ36" s="142">
        <v>1</v>
      </c>
      <c r="AR36" s="165">
        <v>3</v>
      </c>
    </row>
    <row r="37" spans="1:44" ht="15.75" thickBot="1" x14ac:dyDescent="0.3">
      <c r="A37" s="230"/>
      <c r="B37" s="230"/>
      <c r="C37" s="230"/>
      <c r="D37" s="230"/>
      <c r="E37" s="152">
        <v>5</v>
      </c>
      <c r="F37" s="153">
        <f t="shared" si="25"/>
        <v>47.599999999999994</v>
      </c>
      <c r="G37" s="152">
        <v>3</v>
      </c>
      <c r="H37" s="154">
        <f>+H36</f>
        <v>47.5</v>
      </c>
      <c r="I37" s="154">
        <f>+I36</f>
        <v>80</v>
      </c>
      <c r="J37" s="155">
        <f t="shared" si="9"/>
        <v>1.2499999999999289E-3</v>
      </c>
      <c r="K37" s="154">
        <f>+K36</f>
        <v>158</v>
      </c>
      <c r="L37" s="153">
        <f t="shared" si="10"/>
        <v>5.1920402377148429</v>
      </c>
      <c r="M37" s="156">
        <f t="shared" si="11"/>
        <v>5.1920402377148428E-3</v>
      </c>
      <c r="N37" s="156">
        <f t="shared" si="0"/>
        <v>0.13410267267565754</v>
      </c>
      <c r="O37" s="156">
        <f t="shared" si="1"/>
        <v>5.2796327825062024</v>
      </c>
      <c r="P37" s="157">
        <f t="shared" si="12"/>
        <v>6</v>
      </c>
      <c r="Q37" s="113">
        <f>IF(O37&gt;0,VLOOKUP(P37,'$ alcantarillado'!$I$5:$L$22,4,FALSE),"0")</f>
        <v>0.14499999999999999</v>
      </c>
      <c r="R37" s="160">
        <f t="shared" si="2"/>
        <v>6.3946910389487679E-3</v>
      </c>
      <c r="S37" s="146">
        <f t="shared" si="3"/>
        <v>0.81192980334642872</v>
      </c>
      <c r="T37" s="145">
        <f>+IF(S37&gt;$B$13,VLOOKUP(P37,'$ alcantarillado'!$I$6:$N$22,5),P37)</f>
        <v>6</v>
      </c>
      <c r="U37" s="113">
        <f>IF(O37&gt;0,VLOOKUP(T37,'$ alcantarillado'!$I$5:$L$22,4),"0")</f>
        <v>0.14499999999999999</v>
      </c>
      <c r="V37" s="113">
        <f t="shared" si="4"/>
        <v>6.3946910389487679E-3</v>
      </c>
      <c r="W37" s="146">
        <f t="shared" si="5"/>
        <v>0.81192980334642872</v>
      </c>
      <c r="X37" s="146">
        <f t="shared" si="39"/>
        <v>0.38725200985270652</v>
      </c>
      <c r="Y37" s="113">
        <f>IF(T37&gt;0,(VLOOKUP($W37,Relaciones!$A$4:$D$108,2)),"")</f>
        <v>0.98699999999999999</v>
      </c>
      <c r="Z37" s="146">
        <f t="shared" si="40"/>
        <v>0.38221773372462131</v>
      </c>
      <c r="AA37" s="146">
        <f t="shared" si="41"/>
        <v>4.5312499999997424E-2</v>
      </c>
      <c r="AB37" s="147" t="str">
        <f t="shared" si="42"/>
        <v>OK</v>
      </c>
      <c r="AC37" s="147" t="str">
        <f t="shared" si="43"/>
        <v>No Cumple</v>
      </c>
      <c r="AD37" s="147" t="str">
        <f t="shared" si="44"/>
        <v>No Cumple</v>
      </c>
      <c r="AE37" s="148">
        <f t="shared" si="45"/>
        <v>1</v>
      </c>
      <c r="AF37" s="148">
        <f t="shared" si="45"/>
        <v>0</v>
      </c>
      <c r="AG37" s="148">
        <f t="shared" si="45"/>
        <v>0</v>
      </c>
      <c r="AH37" s="148">
        <f t="shared" si="46"/>
        <v>1</v>
      </c>
      <c r="AI37" s="147">
        <f t="shared" si="47"/>
        <v>0</v>
      </c>
      <c r="AJ37" s="158">
        <f>IF(AI37&gt;0,I37*VLOOKUP(T37,'$ alcantarillado'!$I$6:$K$22,3),0)</f>
        <v>0</v>
      </c>
      <c r="AK37" s="158">
        <f t="shared" si="6"/>
        <v>0</v>
      </c>
      <c r="AL37" s="158">
        <f t="shared" si="7"/>
        <v>0</v>
      </c>
      <c r="AM37" s="158">
        <f t="shared" si="22"/>
        <v>0</v>
      </c>
      <c r="AN37" s="154">
        <v>0</v>
      </c>
      <c r="AO37" s="159" t="str">
        <f t="shared" si="8"/>
        <v/>
      </c>
      <c r="AP37" s="220"/>
      <c r="AQ37" s="154"/>
      <c r="AR37" s="166"/>
    </row>
    <row r="38" spans="1:44" x14ac:dyDescent="0.25">
      <c r="A38" s="230"/>
      <c r="B38" s="230"/>
      <c r="C38" s="230"/>
      <c r="D38" s="230"/>
      <c r="E38" s="127">
        <v>1</v>
      </c>
      <c r="F38" s="132">
        <f t="shared" si="25"/>
        <v>48.099999999999994</v>
      </c>
      <c r="G38" s="127">
        <v>4</v>
      </c>
      <c r="H38" s="132">
        <f>+H33-$B$15</f>
        <v>47.375</v>
      </c>
      <c r="I38" s="142">
        <f>+I33</f>
        <v>80</v>
      </c>
      <c r="J38" s="143">
        <f>+(F38-H38)/I38</f>
        <v>9.0624999999999283E-3</v>
      </c>
      <c r="K38" s="142">
        <f>+K33</f>
        <v>158</v>
      </c>
      <c r="L38" s="132">
        <f>IF(K38&lt;38,K38^0.3686*0.7401,IF(K38&lt;235,K38^0.4193*0.6215,IF(K38&lt;932,K38*0.0092+4.2493,K38*0.0069+6.7345)))</f>
        <v>5.1920402377148429</v>
      </c>
      <c r="M38" s="133">
        <f>+L38/1000</f>
        <v>5.1920402377148428E-3</v>
      </c>
      <c r="N38" s="133">
        <f t="shared" si="0"/>
        <v>9.249623538445835E-2</v>
      </c>
      <c r="O38" s="133">
        <f t="shared" si="1"/>
        <v>3.6415840702542659</v>
      </c>
      <c r="P38" s="134">
        <f t="shared" si="12"/>
        <v>6</v>
      </c>
      <c r="Q38" s="135">
        <f>IF(O38&gt;0,VLOOKUP(P38,'$ alcantarillado'!$I$5:$L$22,4,FALSE),"0")</f>
        <v>0.14499999999999999</v>
      </c>
      <c r="R38" s="135">
        <f t="shared" si="2"/>
        <v>1.7218232567723063E-2</v>
      </c>
      <c r="S38" s="136">
        <f t="shared" si="3"/>
        <v>0.30154315881687721</v>
      </c>
      <c r="T38" s="134">
        <f>+IF(S38&gt;$B$13,VLOOKUP(P38,'$ alcantarillado'!$I$6:$N$22,5),P38)</f>
        <v>6</v>
      </c>
      <c r="U38" s="135">
        <f>IF(O38&gt;0,VLOOKUP(T38,'$ alcantarillado'!$I$5:$L$22,4),"0")</f>
        <v>0.14499999999999999</v>
      </c>
      <c r="V38" s="135">
        <f t="shared" si="4"/>
        <v>1.7218232567723063E-2</v>
      </c>
      <c r="W38" s="136">
        <f t="shared" si="5"/>
        <v>0.30154315881687721</v>
      </c>
      <c r="X38" s="136">
        <f>IF(T38&gt;0,4*V38/(PI()*(U38)^2),"")</f>
        <v>1.0427079474754752</v>
      </c>
      <c r="Y38" s="135">
        <f>IF(T38&gt;0,(VLOOKUP($W38,Relaciones!$A$4:$D$108,2)),"")</f>
        <v>0.72699999999999998</v>
      </c>
      <c r="Z38" s="136">
        <f>IF(T38&gt;0,Y38*X38,"")</f>
        <v>0.75804867781467045</v>
      </c>
      <c r="AA38" s="136">
        <f>IF(T38&gt;0,250*U38*J38,"")</f>
        <v>0.32851562499999742</v>
      </c>
      <c r="AB38" s="137" t="str">
        <f>IF(T38&gt;0,IF(W38&lt;=$B$13,"OK","No Cumple"),"")</f>
        <v>OK</v>
      </c>
      <c r="AC38" s="137" t="str">
        <f>IF(T38&gt;0,IF(Z38&gt;=$B$12,"OK","No Cumple"),"")</f>
        <v>OK</v>
      </c>
      <c r="AD38" s="137" t="str">
        <f>IF(T38&gt;0,IF(AA38&gt;$B$14,"OK","No Cumple"),"")</f>
        <v>OK</v>
      </c>
      <c r="AE38" s="138">
        <f>+IF(AB38="OK",1,0)</f>
        <v>1</v>
      </c>
      <c r="AF38" s="138">
        <f>+IF(AC38="OK",1,0)</f>
        <v>1</v>
      </c>
      <c r="AG38" s="138">
        <f>+IF(AD38="OK",1,0)</f>
        <v>1</v>
      </c>
      <c r="AH38" s="138">
        <f>SUM(AE38:AG38)</f>
        <v>3</v>
      </c>
      <c r="AI38" s="137">
        <f>IF(AH38=3,2*$B$7+U38,0)</f>
        <v>0.64500000000000002</v>
      </c>
      <c r="AJ38" s="139">
        <f>IF(AI38&gt;0,I38*VLOOKUP(T38,'$ alcantarillado'!$I$6:$K$22,3),0)</f>
        <v>1912173.3333333335</v>
      </c>
      <c r="AK38" s="139">
        <f t="shared" si="6"/>
        <v>2164104.0000000042</v>
      </c>
      <c r="AL38" s="139">
        <f t="shared" si="7"/>
        <v>938784.44500000204</v>
      </c>
      <c r="AM38" s="139">
        <f>IF(AJ38&gt;0,AJ38+AK38+AL38,0)</f>
        <v>5015061.7783333398</v>
      </c>
      <c r="AN38" s="129">
        <v>0</v>
      </c>
      <c r="AO38" s="140">
        <f t="shared" si="8"/>
        <v>5015061.7783333398</v>
      </c>
      <c r="AP38" s="232">
        <f>+MIN(AO38:AO42)</f>
        <v>5015061.7783333398</v>
      </c>
      <c r="AQ38" s="129"/>
      <c r="AR38" s="163"/>
    </row>
    <row r="39" spans="1:44" x14ac:dyDescent="0.25">
      <c r="A39" s="230"/>
      <c r="B39" s="230"/>
      <c r="C39" s="230"/>
      <c r="D39" s="230"/>
      <c r="E39" s="141">
        <v>2</v>
      </c>
      <c r="F39" s="128">
        <f t="shared" si="25"/>
        <v>47.974999999999994</v>
      </c>
      <c r="G39" s="141">
        <v>4</v>
      </c>
      <c r="H39" s="128">
        <f>+H38</f>
        <v>47.375</v>
      </c>
      <c r="I39" s="142">
        <f>+I38</f>
        <v>80</v>
      </c>
      <c r="J39" s="143">
        <f t="shared" si="9"/>
        <v>7.4999999999999286E-3</v>
      </c>
      <c r="K39" s="142">
        <f>+K38</f>
        <v>158</v>
      </c>
      <c r="L39" s="128">
        <f t="shared" si="10"/>
        <v>5.1920402377148429</v>
      </c>
      <c r="M39" s="144">
        <f t="shared" si="11"/>
        <v>5.1920402377148428E-3</v>
      </c>
      <c r="N39" s="144">
        <f t="shared" si="0"/>
        <v>9.58371905595157E-2</v>
      </c>
      <c r="O39" s="144">
        <f t="shared" si="1"/>
        <v>3.7731177385636103</v>
      </c>
      <c r="P39" s="145">
        <f t="shared" si="12"/>
        <v>6</v>
      </c>
      <c r="Q39" s="113">
        <f>IF(O39&gt;0,VLOOKUP(P39,'$ alcantarillado'!$I$5:$L$22,4,FALSE),"0")</f>
        <v>0.14499999999999999</v>
      </c>
      <c r="R39" s="113">
        <f t="shared" si="2"/>
        <v>1.5663730108172885E-2</v>
      </c>
      <c r="S39" s="146">
        <f t="shared" si="3"/>
        <v>0.33146895419283212</v>
      </c>
      <c r="T39" s="145">
        <f>+IF(S39&gt;$B$13,VLOOKUP(P39,'$ alcantarillado'!$I$6:$N$22,5),P39)</f>
        <v>6</v>
      </c>
      <c r="U39" s="113">
        <f>IF(O39&gt;0,VLOOKUP(T39,'$ alcantarillado'!$I$5:$L$22,4),"0")</f>
        <v>0.14499999999999999</v>
      </c>
      <c r="V39" s="113">
        <f t="shared" si="4"/>
        <v>1.5663730108172885E-2</v>
      </c>
      <c r="W39" s="146">
        <f t="shared" si="5"/>
        <v>0.33146895419283212</v>
      </c>
      <c r="X39" s="146">
        <f t="shared" ref="X39:X42" si="51">IF(T39&gt;0,4*V39/(PI()*(U39)^2),"")</f>
        <v>0.9485698260063975</v>
      </c>
      <c r="Y39" s="113">
        <f>IF(T39&gt;0,(VLOOKUP($W39,Relaciones!$A$4:$D$108,2)),"")</f>
        <v>0.75</v>
      </c>
      <c r="Z39" s="146">
        <f t="shared" ref="Z39:Z42" si="52">IF(T39&gt;0,Y39*X39,"")</f>
        <v>0.71142736950479812</v>
      </c>
      <c r="AA39" s="146">
        <f t="shared" ref="AA39:AA42" si="53">IF(T39&gt;0,250*U39*J39,"")</f>
        <v>0.27187499999999742</v>
      </c>
      <c r="AB39" s="147" t="str">
        <f t="shared" ref="AB39:AB42" si="54">IF(T39&gt;0,IF(W39&lt;=$B$13,"OK","No Cumple"),"")</f>
        <v>OK</v>
      </c>
      <c r="AC39" s="147" t="str">
        <f t="shared" ref="AC39:AC42" si="55">IF(T39&gt;0,IF(Z39&gt;=$B$12,"OK","No Cumple"),"")</f>
        <v>OK</v>
      </c>
      <c r="AD39" s="147" t="str">
        <f t="shared" ref="AD39:AD42" si="56">IF(T39&gt;0,IF(AA39&gt;$B$14,"OK","No Cumple"),"")</f>
        <v>OK</v>
      </c>
      <c r="AE39" s="148">
        <f t="shared" ref="AE39:AG42" si="57">+IF(AB39="OK",1,0)</f>
        <v>1</v>
      </c>
      <c r="AF39" s="148">
        <f t="shared" si="57"/>
        <v>1</v>
      </c>
      <c r="AG39" s="148">
        <f t="shared" si="57"/>
        <v>1</v>
      </c>
      <c r="AH39" s="148">
        <f t="shared" ref="AH39:AH42" si="58">SUM(AE39:AG39)</f>
        <v>3</v>
      </c>
      <c r="AI39" s="147">
        <f t="shared" ref="AI39:AI42" si="59">IF(AH39=3,2*$B$7+U39,0)</f>
        <v>0.64500000000000002</v>
      </c>
      <c r="AJ39" s="149">
        <f>IF(AI39&gt;0,I39*VLOOKUP(T39,'$ alcantarillado'!$I$6:$K$22,3),0)</f>
        <v>1912173.3333333335</v>
      </c>
      <c r="AK39" s="149">
        <f t="shared" si="6"/>
        <v>2280204.0000000042</v>
      </c>
      <c r="AL39" s="149">
        <f t="shared" si="7"/>
        <v>1026032.070000002</v>
      </c>
      <c r="AM39" s="149">
        <f t="shared" si="22"/>
        <v>5218409.4033333398</v>
      </c>
      <c r="AN39" s="142">
        <v>0</v>
      </c>
      <c r="AO39" s="150">
        <f t="shared" si="8"/>
        <v>5218409.4033333398</v>
      </c>
      <c r="AP39" s="218"/>
      <c r="AQ39" s="142"/>
      <c r="AR39" s="165"/>
    </row>
    <row r="40" spans="1:44" x14ac:dyDescent="0.25">
      <c r="A40" s="230"/>
      <c r="B40" s="230"/>
      <c r="C40" s="230"/>
      <c r="D40" s="230"/>
      <c r="E40" s="151">
        <v>3</v>
      </c>
      <c r="F40" s="128">
        <f t="shared" si="25"/>
        <v>47.849999999999994</v>
      </c>
      <c r="G40" s="151">
        <v>4</v>
      </c>
      <c r="H40" s="128">
        <f t="shared" ref="H40:H41" si="60">+H39</f>
        <v>47.375</v>
      </c>
      <c r="I40" s="142">
        <f t="shared" ref="I40:I41" si="61">+I39</f>
        <v>80</v>
      </c>
      <c r="J40" s="143">
        <f t="shared" si="9"/>
        <v>5.9374999999999289E-3</v>
      </c>
      <c r="K40" s="142">
        <f t="shared" ref="K40:K41" si="62">+K39</f>
        <v>158</v>
      </c>
      <c r="L40" s="128">
        <f t="shared" si="10"/>
        <v>5.1920402377148429</v>
      </c>
      <c r="M40" s="144">
        <f t="shared" si="11"/>
        <v>5.1920402377148428E-3</v>
      </c>
      <c r="N40" s="144">
        <f t="shared" si="0"/>
        <v>0.10012842426186469</v>
      </c>
      <c r="O40" s="144">
        <f t="shared" si="1"/>
        <v>3.9420639473175076</v>
      </c>
      <c r="P40" s="145">
        <f t="shared" si="12"/>
        <v>6</v>
      </c>
      <c r="Q40" s="113">
        <f>IF(O40&gt;0,VLOOKUP(P40,'$ alcantarillado'!$I$5:$L$22,4,FALSE),"0")</f>
        <v>0.14499999999999999</v>
      </c>
      <c r="R40" s="113">
        <f t="shared" si="2"/>
        <v>1.3936906006971714E-2</v>
      </c>
      <c r="S40" s="146">
        <f t="shared" si="3"/>
        <v>0.37253894337219523</v>
      </c>
      <c r="T40" s="145">
        <f>+IF(S40&gt;$B$13,VLOOKUP(P40,'$ alcantarillado'!$I$6:$N$22,5),P40)</f>
        <v>6</v>
      </c>
      <c r="U40" s="113">
        <f>IF(O40&gt;0,VLOOKUP(T40,'$ alcantarillado'!$I$5:$L$22,4),"0")</f>
        <v>0.14499999999999999</v>
      </c>
      <c r="V40" s="113">
        <f t="shared" si="4"/>
        <v>1.3936906006971714E-2</v>
      </c>
      <c r="W40" s="146">
        <f t="shared" si="5"/>
        <v>0.37253894337219523</v>
      </c>
      <c r="X40" s="146">
        <f t="shared" si="51"/>
        <v>0.84399618831550161</v>
      </c>
      <c r="Y40" s="113">
        <f>IF(T40&gt;0,(VLOOKUP($W40,Relaciones!$A$4:$D$108,2)),"")</f>
        <v>0.77600000000000002</v>
      </c>
      <c r="Z40" s="146">
        <f t="shared" si="52"/>
        <v>0.65494104213282922</v>
      </c>
      <c r="AA40" s="146">
        <f t="shared" si="53"/>
        <v>0.21523437499999742</v>
      </c>
      <c r="AB40" s="147" t="str">
        <f t="shared" si="54"/>
        <v>OK</v>
      </c>
      <c r="AC40" s="147" t="str">
        <f t="shared" si="55"/>
        <v>OK</v>
      </c>
      <c r="AD40" s="147" t="str">
        <f t="shared" si="56"/>
        <v>OK</v>
      </c>
      <c r="AE40" s="148">
        <f t="shared" si="57"/>
        <v>1</v>
      </c>
      <c r="AF40" s="148">
        <f t="shared" si="57"/>
        <v>1</v>
      </c>
      <c r="AG40" s="148">
        <f t="shared" si="57"/>
        <v>1</v>
      </c>
      <c r="AH40" s="148">
        <f t="shared" si="58"/>
        <v>3</v>
      </c>
      <c r="AI40" s="147">
        <f t="shared" si="59"/>
        <v>0.64500000000000002</v>
      </c>
      <c r="AJ40" s="149">
        <f>IF(AI40&gt;0,I40*VLOOKUP(T40,'$ alcantarillado'!$I$6:$K$22,3),0)</f>
        <v>1912173.3333333335</v>
      </c>
      <c r="AK40" s="149">
        <f t="shared" si="6"/>
        <v>2396304.0000000042</v>
      </c>
      <c r="AL40" s="149">
        <f t="shared" si="7"/>
        <v>1113279.6950000019</v>
      </c>
      <c r="AM40" s="149">
        <f t="shared" si="22"/>
        <v>5421757.0283333398</v>
      </c>
      <c r="AN40" s="142">
        <v>0</v>
      </c>
      <c r="AO40" s="150">
        <f t="shared" si="8"/>
        <v>5421757.0283333398</v>
      </c>
      <c r="AP40" s="219"/>
      <c r="AQ40" s="142">
        <v>1</v>
      </c>
      <c r="AR40" s="165">
        <v>4</v>
      </c>
    </row>
    <row r="41" spans="1:44" x14ac:dyDescent="0.25">
      <c r="A41" s="230"/>
      <c r="B41" s="230"/>
      <c r="C41" s="230"/>
      <c r="D41" s="230"/>
      <c r="E41" s="151">
        <v>4</v>
      </c>
      <c r="F41" s="128">
        <f t="shared" si="25"/>
        <v>47.724999999999994</v>
      </c>
      <c r="G41" s="151">
        <v>4</v>
      </c>
      <c r="H41" s="128">
        <f t="shared" si="60"/>
        <v>47.375</v>
      </c>
      <c r="I41" s="142">
        <f t="shared" si="61"/>
        <v>80</v>
      </c>
      <c r="J41" s="143">
        <f>+(F41-H41)/I41</f>
        <v>4.3749999999999293E-3</v>
      </c>
      <c r="K41" s="142">
        <f t="shared" si="62"/>
        <v>158</v>
      </c>
      <c r="L41" s="128">
        <f t="shared" si="10"/>
        <v>5.1920402377148429</v>
      </c>
      <c r="M41" s="144">
        <f t="shared" si="11"/>
        <v>5.1920402377148428E-3</v>
      </c>
      <c r="N41" s="144">
        <f t="shared" si="0"/>
        <v>0.10602900237114536</v>
      </c>
      <c r="O41" s="144">
        <f t="shared" si="1"/>
        <v>4.1743701720923374</v>
      </c>
      <c r="P41" s="145">
        <f t="shared" si="12"/>
        <v>6</v>
      </c>
      <c r="Q41" s="113">
        <f>IF(O41&gt;0,VLOOKUP(P41,'$ alcantarillado'!$I$5:$L$22,4,FALSE),"0")</f>
        <v>0.14499999999999999</v>
      </c>
      <c r="R41" s="113">
        <f t="shared" si="2"/>
        <v>1.1963371481010138E-2</v>
      </c>
      <c r="S41" s="146">
        <f t="shared" si="3"/>
        <v>0.43399473517614517</v>
      </c>
      <c r="T41" s="145">
        <f>+IF(S41&gt;$B$13,VLOOKUP(P41,'$ alcantarillado'!$I$6:$N$22,5),P41)</f>
        <v>6</v>
      </c>
      <c r="U41" s="113">
        <f>IF(O41&gt;0,VLOOKUP(T41,'$ alcantarillado'!$I$5:$L$22,4),"0")</f>
        <v>0.14499999999999999</v>
      </c>
      <c r="V41" s="113">
        <f t="shared" si="4"/>
        <v>1.1963371481010138E-2</v>
      </c>
      <c r="W41" s="146">
        <f t="shared" si="5"/>
        <v>0.43399473517614517</v>
      </c>
      <c r="X41" s="146">
        <f t="shared" si="51"/>
        <v>0.72448217160423212</v>
      </c>
      <c r="Y41" s="113">
        <f>IF(T41&gt;0,(VLOOKUP($W41,Relaciones!$A$4:$D$108,2)),"")</f>
        <v>0.81</v>
      </c>
      <c r="Z41" s="146">
        <f t="shared" si="52"/>
        <v>0.58683055899942804</v>
      </c>
      <c r="AA41" s="146">
        <f t="shared" si="53"/>
        <v>0.15859374999999742</v>
      </c>
      <c r="AB41" s="147" t="str">
        <f t="shared" si="54"/>
        <v>OK</v>
      </c>
      <c r="AC41" s="147" t="str">
        <f t="shared" si="55"/>
        <v>OK</v>
      </c>
      <c r="AD41" s="147" t="str">
        <f t="shared" si="56"/>
        <v>OK</v>
      </c>
      <c r="AE41" s="148">
        <f t="shared" si="57"/>
        <v>1</v>
      </c>
      <c r="AF41" s="148">
        <f t="shared" si="57"/>
        <v>1</v>
      </c>
      <c r="AG41" s="148">
        <f t="shared" si="57"/>
        <v>1</v>
      </c>
      <c r="AH41" s="148">
        <f t="shared" si="58"/>
        <v>3</v>
      </c>
      <c r="AI41" s="147">
        <f t="shared" si="59"/>
        <v>0.64500000000000002</v>
      </c>
      <c r="AJ41" s="149">
        <f>IF(AI41&gt;0,I41*VLOOKUP(T41,'$ alcantarillado'!$I$6:$K$22,3),0)</f>
        <v>1912173.3333333335</v>
      </c>
      <c r="AK41" s="149">
        <f t="shared" si="6"/>
        <v>2512404.0000000042</v>
      </c>
      <c r="AL41" s="149">
        <f t="shared" si="7"/>
        <v>1200527.3200000019</v>
      </c>
      <c r="AM41" s="149">
        <f t="shared" si="22"/>
        <v>5625104.6533333398</v>
      </c>
      <c r="AN41" s="142">
        <v>0</v>
      </c>
      <c r="AO41" s="150">
        <f t="shared" si="8"/>
        <v>5625104.6533333398</v>
      </c>
      <c r="AP41" s="219"/>
      <c r="AQ41" s="142"/>
      <c r="AR41" s="165"/>
    </row>
    <row r="42" spans="1:44" ht="15.75" thickBot="1" x14ac:dyDescent="0.3">
      <c r="A42" s="230"/>
      <c r="B42" s="230"/>
      <c r="C42" s="230"/>
      <c r="D42" s="230"/>
      <c r="E42" s="152">
        <v>5</v>
      </c>
      <c r="F42" s="153">
        <f t="shared" si="25"/>
        <v>47.599999999999994</v>
      </c>
      <c r="G42" s="152">
        <v>4</v>
      </c>
      <c r="H42" s="153">
        <f>+H41</f>
        <v>47.375</v>
      </c>
      <c r="I42" s="154">
        <f>+I41</f>
        <v>80</v>
      </c>
      <c r="J42" s="155">
        <f t="shared" si="9"/>
        <v>2.8124999999999288E-3</v>
      </c>
      <c r="K42" s="154">
        <f>+K41</f>
        <v>158</v>
      </c>
      <c r="L42" s="153">
        <f t="shared" si="10"/>
        <v>5.1920402377148429</v>
      </c>
      <c r="M42" s="156">
        <f t="shared" si="11"/>
        <v>5.1920402377148428E-3</v>
      </c>
      <c r="N42" s="156">
        <f t="shared" si="0"/>
        <v>0.11518693207929813</v>
      </c>
      <c r="O42" s="156">
        <f t="shared" si="1"/>
        <v>4.5349185857991392</v>
      </c>
      <c r="P42" s="157">
        <f t="shared" si="12"/>
        <v>6</v>
      </c>
      <c r="Q42" s="113">
        <f>IF(O42&gt;0,VLOOKUP(P42,'$ alcantarillado'!$I$5:$L$22,4,FALSE),"0")</f>
        <v>0.14499999999999999</v>
      </c>
      <c r="R42" s="160">
        <f t="shared" si="2"/>
        <v>9.5920365584233041E-3</v>
      </c>
      <c r="S42" s="146">
        <f t="shared" si="3"/>
        <v>0.54128653556427719</v>
      </c>
      <c r="T42" s="145">
        <f>+IF(S42&gt;$B$13,VLOOKUP(P42,'$ alcantarillado'!$I$6:$N$22,5),P42)</f>
        <v>6</v>
      </c>
      <c r="U42" s="113">
        <f>IF(O42&gt;0,VLOOKUP(T42,'$ alcantarillado'!$I$5:$L$22,4),"0")</f>
        <v>0.14499999999999999</v>
      </c>
      <c r="V42" s="113">
        <f t="shared" si="4"/>
        <v>9.5920365584233041E-3</v>
      </c>
      <c r="W42" s="146">
        <f t="shared" si="5"/>
        <v>0.54128653556427719</v>
      </c>
      <c r="X42" s="146">
        <f t="shared" si="51"/>
        <v>0.58087801477906897</v>
      </c>
      <c r="Y42" s="113">
        <f>IF(T42&gt;0,(VLOOKUP($W42,Relaciones!$A$4:$D$108,2)),"")</f>
        <v>0.87</v>
      </c>
      <c r="Z42" s="146">
        <f t="shared" si="52"/>
        <v>0.50536387285779005</v>
      </c>
      <c r="AA42" s="146">
        <f t="shared" si="53"/>
        <v>0.10195312499999742</v>
      </c>
      <c r="AB42" s="147" t="str">
        <f t="shared" si="54"/>
        <v>OK</v>
      </c>
      <c r="AC42" s="147" t="str">
        <f t="shared" si="55"/>
        <v>OK</v>
      </c>
      <c r="AD42" s="147" t="str">
        <f t="shared" si="56"/>
        <v>No Cumple</v>
      </c>
      <c r="AE42" s="148">
        <f t="shared" si="57"/>
        <v>1</v>
      </c>
      <c r="AF42" s="148">
        <f t="shared" si="57"/>
        <v>1</v>
      </c>
      <c r="AG42" s="148">
        <f t="shared" si="57"/>
        <v>0</v>
      </c>
      <c r="AH42" s="148">
        <f t="shared" si="58"/>
        <v>2</v>
      </c>
      <c r="AI42" s="147">
        <f t="shared" si="59"/>
        <v>0</v>
      </c>
      <c r="AJ42" s="158">
        <f>IF(AI42&gt;0,I42*VLOOKUP(T42,'$ alcantarillado'!$I$6:$K$22,3),0)</f>
        <v>0</v>
      </c>
      <c r="AK42" s="158">
        <f t="shared" si="6"/>
        <v>0</v>
      </c>
      <c r="AL42" s="158">
        <f t="shared" si="7"/>
        <v>0</v>
      </c>
      <c r="AM42" s="158">
        <f t="shared" si="22"/>
        <v>0</v>
      </c>
      <c r="AN42" s="154">
        <v>0</v>
      </c>
      <c r="AO42" s="159" t="str">
        <f t="shared" si="8"/>
        <v/>
      </c>
      <c r="AP42" s="220"/>
      <c r="AQ42" s="154"/>
      <c r="AR42" s="166"/>
    </row>
    <row r="43" spans="1:44" x14ac:dyDescent="0.25">
      <c r="A43" s="230"/>
      <c r="B43" s="230"/>
      <c r="C43" s="230"/>
      <c r="D43" s="230"/>
      <c r="E43" s="127">
        <v>1</v>
      </c>
      <c r="F43" s="132">
        <f t="shared" si="25"/>
        <v>48.099999999999994</v>
      </c>
      <c r="G43" s="127">
        <v>5</v>
      </c>
      <c r="H43" s="132">
        <f>+H33-2*$B$15</f>
        <v>47.25</v>
      </c>
      <c r="I43" s="142">
        <f>+I38</f>
        <v>80</v>
      </c>
      <c r="J43" s="143">
        <f>+(F43-H43)/I43</f>
        <v>1.062499999999993E-2</v>
      </c>
      <c r="K43" s="142">
        <f>+K38</f>
        <v>158</v>
      </c>
      <c r="L43" s="132">
        <f>IF(K43&lt;38,K43^0.3686*0.7401,IF(K43&lt;235,K43^0.4193*0.6215,IF(K43&lt;932,K43*0.0092+4.2493,K43*0.0069+6.7345)))</f>
        <v>5.1920402377148429</v>
      </c>
      <c r="M43" s="133">
        <f>+L43/1000</f>
        <v>5.1920402377148428E-3</v>
      </c>
      <c r="N43" s="133">
        <f t="shared" si="0"/>
        <v>8.9778301517349057E-2</v>
      </c>
      <c r="O43" s="133">
        <f t="shared" si="1"/>
        <v>3.5345787998956322</v>
      </c>
      <c r="P43" s="134">
        <f t="shared" si="12"/>
        <v>6</v>
      </c>
      <c r="Q43" s="135">
        <f>IF(O43&gt;0,VLOOKUP(P43,'$ alcantarillado'!$I$5:$L$22,4,FALSE),"0")</f>
        <v>0.14499999999999999</v>
      </c>
      <c r="R43" s="135">
        <f t="shared" si="2"/>
        <v>1.8643567915254761E-2</v>
      </c>
      <c r="S43" s="136">
        <f t="shared" si="3"/>
        <v>0.27848962501788888</v>
      </c>
      <c r="T43" s="134">
        <f>+IF(S43&gt;$B$13,VLOOKUP(P43,'$ alcantarillado'!$I$6:$N$22,5),P43)</f>
        <v>6</v>
      </c>
      <c r="U43" s="135">
        <f>IF(O43&gt;0,VLOOKUP(T43,'$ alcantarillado'!$I$5:$L$22,4),"0")</f>
        <v>0.14499999999999999</v>
      </c>
      <c r="V43" s="135">
        <f t="shared" si="4"/>
        <v>1.8643567915254761E-2</v>
      </c>
      <c r="W43" s="136">
        <f t="shared" si="5"/>
        <v>0.27848962501788888</v>
      </c>
      <c r="X43" s="136">
        <f>IF(T43&gt;0,4*V43/(PI()*(U43)^2),"")</f>
        <v>1.1290239203166734</v>
      </c>
      <c r="Y43" s="135">
        <f>IF(T43&gt;0,(VLOOKUP($W43,Relaciones!$A$4:$D$108,2)),"")</f>
        <v>0.70599999999999996</v>
      </c>
      <c r="Z43" s="136">
        <f>IF(T43&gt;0,Y43*X43,"")</f>
        <v>0.7970908877435714</v>
      </c>
      <c r="AA43" s="136">
        <f>IF(T43&gt;0,250*U43*J43,"")</f>
        <v>0.38515624999999742</v>
      </c>
      <c r="AB43" s="137" t="str">
        <f>IF(T43&gt;0,IF(W43&lt;=$B$13,"OK","No Cumple"),"")</f>
        <v>OK</v>
      </c>
      <c r="AC43" s="137" t="str">
        <f>IF(T43&gt;0,IF(Z43&gt;=$B$12,"OK","No Cumple"),"")</f>
        <v>OK</v>
      </c>
      <c r="AD43" s="137" t="str">
        <f>IF(T43&gt;0,IF(AA43&gt;$B$14,"OK","No Cumple"),"")</f>
        <v>OK</v>
      </c>
      <c r="AE43" s="138">
        <f>+IF(AB43="OK",1,0)</f>
        <v>1</v>
      </c>
      <c r="AF43" s="138">
        <f>+IF(AC43="OK",1,0)</f>
        <v>1</v>
      </c>
      <c r="AG43" s="138">
        <f>+IF(AD43="OK",1,0)</f>
        <v>1</v>
      </c>
      <c r="AH43" s="138">
        <f>SUM(AE43:AG43)</f>
        <v>3</v>
      </c>
      <c r="AI43" s="137">
        <f>IF(AH43=3,2*$B$7+U43,0)</f>
        <v>0.64500000000000002</v>
      </c>
      <c r="AJ43" s="139">
        <f>IF(AI43&gt;0,I43*VLOOKUP(T43,'$ alcantarillado'!$I$6:$K$22,3),0)</f>
        <v>1912173.3333333335</v>
      </c>
      <c r="AK43" s="139">
        <f t="shared" si="6"/>
        <v>2222154.0000000042</v>
      </c>
      <c r="AL43" s="139">
        <f t="shared" si="7"/>
        <v>938784.44500000204</v>
      </c>
      <c r="AM43" s="139">
        <f>IF(AJ43&gt;0,AJ43+AK43+AL43,0)</f>
        <v>5073111.7783333398</v>
      </c>
      <c r="AN43" s="129">
        <v>0</v>
      </c>
      <c r="AO43" s="140">
        <f t="shared" si="8"/>
        <v>5073111.7783333398</v>
      </c>
      <c r="AP43" s="232">
        <f>+MIN(AO43:AO47)</f>
        <v>5073111.7783333398</v>
      </c>
      <c r="AQ43" s="142"/>
      <c r="AR43" s="165"/>
    </row>
    <row r="44" spans="1:44" x14ac:dyDescent="0.25">
      <c r="A44" s="230"/>
      <c r="B44" s="230"/>
      <c r="C44" s="230"/>
      <c r="D44" s="230"/>
      <c r="E44" s="141">
        <v>2</v>
      </c>
      <c r="F44" s="128">
        <f t="shared" si="25"/>
        <v>47.974999999999994</v>
      </c>
      <c r="G44" s="141">
        <v>5</v>
      </c>
      <c r="H44" s="128">
        <f>+H43</f>
        <v>47.25</v>
      </c>
      <c r="I44" s="142">
        <f>+I43</f>
        <v>80</v>
      </c>
      <c r="J44" s="143">
        <f t="shared" si="9"/>
        <v>9.0624999999999283E-3</v>
      </c>
      <c r="K44" s="142">
        <f>+K43</f>
        <v>158</v>
      </c>
      <c r="L44" s="128">
        <f t="shared" si="10"/>
        <v>5.1920402377148429</v>
      </c>
      <c r="M44" s="144">
        <f t="shared" si="11"/>
        <v>5.1920402377148428E-3</v>
      </c>
      <c r="N44" s="144">
        <f t="shared" si="0"/>
        <v>9.249623538445835E-2</v>
      </c>
      <c r="O44" s="144">
        <f t="shared" si="1"/>
        <v>3.6415840702542659</v>
      </c>
      <c r="P44" s="145">
        <f t="shared" si="12"/>
        <v>6</v>
      </c>
      <c r="Q44" s="113">
        <f>IF(O44&gt;0,VLOOKUP(P44,'$ alcantarillado'!$I$5:$L$22,4,FALSE),"0")</f>
        <v>0.14499999999999999</v>
      </c>
      <c r="R44" s="113">
        <f t="shared" si="2"/>
        <v>1.7218232567723063E-2</v>
      </c>
      <c r="S44" s="146">
        <f t="shared" si="3"/>
        <v>0.30154315881687721</v>
      </c>
      <c r="T44" s="145">
        <f>+IF(S44&gt;$B$13,VLOOKUP(P44,'$ alcantarillado'!$I$6:$N$22,5),P44)</f>
        <v>6</v>
      </c>
      <c r="U44" s="113">
        <f>IF(O44&gt;0,VLOOKUP(T44,'$ alcantarillado'!$I$5:$L$22,4),"0")</f>
        <v>0.14499999999999999</v>
      </c>
      <c r="V44" s="113">
        <f t="shared" si="4"/>
        <v>1.7218232567723063E-2</v>
      </c>
      <c r="W44" s="146">
        <f t="shared" si="5"/>
        <v>0.30154315881687721</v>
      </c>
      <c r="X44" s="146">
        <f t="shared" ref="X44:X47" si="63">IF(T44&gt;0,4*V44/(PI()*(U44)^2),"")</f>
        <v>1.0427079474754752</v>
      </c>
      <c r="Y44" s="113">
        <f>IF(T44&gt;0,(VLOOKUP($W44,Relaciones!$A$4:$D$108,2)),"")</f>
        <v>0.72699999999999998</v>
      </c>
      <c r="Z44" s="146">
        <f t="shared" ref="Z44:Z47" si="64">IF(T44&gt;0,Y44*X44,"")</f>
        <v>0.75804867781467045</v>
      </c>
      <c r="AA44" s="146">
        <f t="shared" ref="AA44:AA47" si="65">IF(T44&gt;0,250*U44*J44,"")</f>
        <v>0.32851562499999742</v>
      </c>
      <c r="AB44" s="147" t="str">
        <f t="shared" ref="AB44:AB47" si="66">IF(T44&gt;0,IF(W44&lt;=$B$13,"OK","No Cumple"),"")</f>
        <v>OK</v>
      </c>
      <c r="AC44" s="147" t="str">
        <f t="shared" ref="AC44:AC47" si="67">IF(T44&gt;0,IF(Z44&gt;=$B$12,"OK","No Cumple"),"")</f>
        <v>OK</v>
      </c>
      <c r="AD44" s="147" t="str">
        <f t="shared" ref="AD44:AD47" si="68">IF(T44&gt;0,IF(AA44&gt;$B$14,"OK","No Cumple"),"")</f>
        <v>OK</v>
      </c>
      <c r="AE44" s="148">
        <f t="shared" ref="AE44:AG47" si="69">+IF(AB44="OK",1,0)</f>
        <v>1</v>
      </c>
      <c r="AF44" s="148">
        <f t="shared" si="69"/>
        <v>1</v>
      </c>
      <c r="AG44" s="148">
        <f t="shared" si="69"/>
        <v>1</v>
      </c>
      <c r="AH44" s="148">
        <f t="shared" ref="AH44:AH47" si="70">SUM(AE44:AG44)</f>
        <v>3</v>
      </c>
      <c r="AI44" s="147">
        <f t="shared" ref="AI44:AI47" si="71">IF(AH44=3,2*$B$7+U44,0)</f>
        <v>0.64500000000000002</v>
      </c>
      <c r="AJ44" s="149">
        <f>IF(AI44&gt;0,I44*VLOOKUP(T44,'$ alcantarillado'!$I$6:$K$22,3),0)</f>
        <v>1912173.3333333335</v>
      </c>
      <c r="AK44" s="149">
        <f t="shared" si="6"/>
        <v>2338254.0000000047</v>
      </c>
      <c r="AL44" s="149">
        <f t="shared" si="7"/>
        <v>1026032.070000002</v>
      </c>
      <c r="AM44" s="149">
        <f t="shared" si="22"/>
        <v>5276459.4033333398</v>
      </c>
      <c r="AN44" s="142">
        <v>0</v>
      </c>
      <c r="AO44" s="150">
        <f t="shared" si="8"/>
        <v>5276459.4033333398</v>
      </c>
      <c r="AP44" s="218"/>
      <c r="AQ44" s="142"/>
      <c r="AR44" s="165"/>
    </row>
    <row r="45" spans="1:44" x14ac:dyDescent="0.25">
      <c r="A45" s="230"/>
      <c r="B45" s="230"/>
      <c r="C45" s="230"/>
      <c r="D45" s="230"/>
      <c r="E45" s="151">
        <v>3</v>
      </c>
      <c r="F45" s="128">
        <f t="shared" si="25"/>
        <v>47.849999999999994</v>
      </c>
      <c r="G45" s="151">
        <v>5</v>
      </c>
      <c r="H45" s="128">
        <f t="shared" ref="H45:H46" si="72">+H44</f>
        <v>47.25</v>
      </c>
      <c r="I45" s="142">
        <f t="shared" ref="I45:I46" si="73">+I44</f>
        <v>80</v>
      </c>
      <c r="J45" s="143">
        <f t="shared" si="9"/>
        <v>7.4999999999999286E-3</v>
      </c>
      <c r="K45" s="142">
        <f t="shared" ref="K45:K46" si="74">+K44</f>
        <v>158</v>
      </c>
      <c r="L45" s="128">
        <f t="shared" si="10"/>
        <v>5.1920402377148429</v>
      </c>
      <c r="M45" s="144">
        <f t="shared" si="11"/>
        <v>5.1920402377148428E-3</v>
      </c>
      <c r="N45" s="144">
        <f t="shared" si="0"/>
        <v>9.58371905595157E-2</v>
      </c>
      <c r="O45" s="144">
        <f t="shared" si="1"/>
        <v>3.7731177385636103</v>
      </c>
      <c r="P45" s="145">
        <f t="shared" si="12"/>
        <v>6</v>
      </c>
      <c r="Q45" s="113">
        <f>IF(O45&gt;0,VLOOKUP(P45,'$ alcantarillado'!$I$5:$L$22,4,FALSE),"0")</f>
        <v>0.14499999999999999</v>
      </c>
      <c r="R45" s="113">
        <f t="shared" si="2"/>
        <v>1.5663730108172885E-2</v>
      </c>
      <c r="S45" s="146">
        <f t="shared" si="3"/>
        <v>0.33146895419283212</v>
      </c>
      <c r="T45" s="145">
        <f>+IF(S45&gt;$B$13,VLOOKUP(P45,'$ alcantarillado'!$I$6:$N$22,5),P45)</f>
        <v>6</v>
      </c>
      <c r="U45" s="113">
        <f>IF(O45&gt;0,VLOOKUP(T45,'$ alcantarillado'!$I$5:$L$22,4),"0")</f>
        <v>0.14499999999999999</v>
      </c>
      <c r="V45" s="113">
        <f t="shared" si="4"/>
        <v>1.5663730108172885E-2</v>
      </c>
      <c r="W45" s="146">
        <f t="shared" si="5"/>
        <v>0.33146895419283212</v>
      </c>
      <c r="X45" s="146">
        <f t="shared" si="63"/>
        <v>0.9485698260063975</v>
      </c>
      <c r="Y45" s="113">
        <f>IF(T45&gt;0,(VLOOKUP($W45,Relaciones!$A$4:$D$108,2)),"")</f>
        <v>0.75</v>
      </c>
      <c r="Z45" s="146">
        <f t="shared" si="64"/>
        <v>0.71142736950479812</v>
      </c>
      <c r="AA45" s="146">
        <f t="shared" si="65"/>
        <v>0.27187499999999742</v>
      </c>
      <c r="AB45" s="147" t="str">
        <f t="shared" si="66"/>
        <v>OK</v>
      </c>
      <c r="AC45" s="147" t="str">
        <f t="shared" si="67"/>
        <v>OK</v>
      </c>
      <c r="AD45" s="147" t="str">
        <f t="shared" si="68"/>
        <v>OK</v>
      </c>
      <c r="AE45" s="148">
        <f t="shared" si="69"/>
        <v>1</v>
      </c>
      <c r="AF45" s="148">
        <f t="shared" si="69"/>
        <v>1</v>
      </c>
      <c r="AG45" s="148">
        <f t="shared" si="69"/>
        <v>1</v>
      </c>
      <c r="AH45" s="148">
        <f t="shared" si="70"/>
        <v>3</v>
      </c>
      <c r="AI45" s="147">
        <f t="shared" si="71"/>
        <v>0.64500000000000002</v>
      </c>
      <c r="AJ45" s="149">
        <f>IF(AI45&gt;0,I45*VLOOKUP(T45,'$ alcantarillado'!$I$6:$K$22,3),0)</f>
        <v>1912173.3333333335</v>
      </c>
      <c r="AK45" s="149">
        <f t="shared" si="6"/>
        <v>2454354.0000000042</v>
      </c>
      <c r="AL45" s="149">
        <f t="shared" si="7"/>
        <v>1113279.6950000019</v>
      </c>
      <c r="AM45" s="149">
        <f t="shared" si="22"/>
        <v>5479807.0283333398</v>
      </c>
      <c r="AN45" s="142">
        <v>0</v>
      </c>
      <c r="AO45" s="150">
        <f t="shared" si="8"/>
        <v>5479807.0283333398</v>
      </c>
      <c r="AP45" s="219"/>
      <c r="AQ45" s="142">
        <v>1</v>
      </c>
      <c r="AR45" s="165">
        <v>5</v>
      </c>
    </row>
    <row r="46" spans="1:44" x14ac:dyDescent="0.25">
      <c r="A46" s="230"/>
      <c r="B46" s="230"/>
      <c r="C46" s="230"/>
      <c r="D46" s="230"/>
      <c r="E46" s="151">
        <v>4</v>
      </c>
      <c r="F46" s="128">
        <f t="shared" si="25"/>
        <v>47.724999999999994</v>
      </c>
      <c r="G46" s="151">
        <v>5</v>
      </c>
      <c r="H46" s="128">
        <f t="shared" si="72"/>
        <v>47.25</v>
      </c>
      <c r="I46" s="142">
        <f t="shared" si="73"/>
        <v>80</v>
      </c>
      <c r="J46" s="143">
        <f>+(F46-H46)/I46</f>
        <v>5.9374999999999289E-3</v>
      </c>
      <c r="K46" s="142">
        <f t="shared" si="74"/>
        <v>158</v>
      </c>
      <c r="L46" s="128">
        <f t="shared" si="10"/>
        <v>5.1920402377148429</v>
      </c>
      <c r="M46" s="144">
        <f t="shared" si="11"/>
        <v>5.1920402377148428E-3</v>
      </c>
      <c r="N46" s="144">
        <f t="shared" si="0"/>
        <v>0.10012842426186469</v>
      </c>
      <c r="O46" s="144">
        <f t="shared" si="1"/>
        <v>3.9420639473175076</v>
      </c>
      <c r="P46" s="145">
        <f t="shared" si="12"/>
        <v>6</v>
      </c>
      <c r="Q46" s="113">
        <f>IF(O46&gt;0,VLOOKUP(P46,'$ alcantarillado'!$I$5:$L$22,4,FALSE),"0")</f>
        <v>0.14499999999999999</v>
      </c>
      <c r="R46" s="113">
        <f t="shared" si="2"/>
        <v>1.3936906006971714E-2</v>
      </c>
      <c r="S46" s="146">
        <f t="shared" si="3"/>
        <v>0.37253894337219523</v>
      </c>
      <c r="T46" s="145">
        <f>+IF(S46&gt;$B$13,VLOOKUP(P46,'$ alcantarillado'!$I$6:$N$22,5),P46)</f>
        <v>6</v>
      </c>
      <c r="U46" s="113">
        <f>IF(O46&gt;0,VLOOKUP(T46,'$ alcantarillado'!$I$5:$L$22,4),"0")</f>
        <v>0.14499999999999999</v>
      </c>
      <c r="V46" s="113">
        <f t="shared" si="4"/>
        <v>1.3936906006971714E-2</v>
      </c>
      <c r="W46" s="146">
        <f t="shared" si="5"/>
        <v>0.37253894337219523</v>
      </c>
      <c r="X46" s="146">
        <f t="shared" si="63"/>
        <v>0.84399618831550161</v>
      </c>
      <c r="Y46" s="113">
        <f>IF(T46&gt;0,(VLOOKUP($W46,Relaciones!$A$4:$D$108,2)),"")</f>
        <v>0.77600000000000002</v>
      </c>
      <c r="Z46" s="146">
        <f t="shared" si="64"/>
        <v>0.65494104213282922</v>
      </c>
      <c r="AA46" s="146">
        <f t="shared" si="65"/>
        <v>0.21523437499999742</v>
      </c>
      <c r="AB46" s="147" t="str">
        <f t="shared" si="66"/>
        <v>OK</v>
      </c>
      <c r="AC46" s="147" t="str">
        <f t="shared" si="67"/>
        <v>OK</v>
      </c>
      <c r="AD46" s="147" t="str">
        <f t="shared" si="68"/>
        <v>OK</v>
      </c>
      <c r="AE46" s="148">
        <f t="shared" si="69"/>
        <v>1</v>
      </c>
      <c r="AF46" s="148">
        <f t="shared" si="69"/>
        <v>1</v>
      </c>
      <c r="AG46" s="148">
        <f t="shared" si="69"/>
        <v>1</v>
      </c>
      <c r="AH46" s="148">
        <f t="shared" si="70"/>
        <v>3</v>
      </c>
      <c r="AI46" s="147">
        <f t="shared" si="71"/>
        <v>0.64500000000000002</v>
      </c>
      <c r="AJ46" s="149">
        <f>IF(AI46&gt;0,I46*VLOOKUP(T46,'$ alcantarillado'!$I$6:$K$22,3),0)</f>
        <v>1912173.3333333335</v>
      </c>
      <c r="AK46" s="149">
        <f t="shared" si="6"/>
        <v>2570454.0000000042</v>
      </c>
      <c r="AL46" s="149">
        <f t="shared" si="7"/>
        <v>1200527.3200000019</v>
      </c>
      <c r="AM46" s="149">
        <f t="shared" si="22"/>
        <v>5683154.6533333398</v>
      </c>
      <c r="AN46" s="142">
        <v>0</v>
      </c>
      <c r="AO46" s="150">
        <f t="shared" si="8"/>
        <v>5683154.6533333398</v>
      </c>
      <c r="AP46" s="219"/>
      <c r="AQ46" s="142"/>
      <c r="AR46" s="165"/>
    </row>
    <row r="47" spans="1:44" ht="15.75" thickBot="1" x14ac:dyDescent="0.3">
      <c r="A47" s="231"/>
      <c r="B47" s="231"/>
      <c r="C47" s="231"/>
      <c r="D47" s="231"/>
      <c r="E47" s="152">
        <v>5</v>
      </c>
      <c r="F47" s="153">
        <f t="shared" si="25"/>
        <v>47.599999999999994</v>
      </c>
      <c r="G47" s="152">
        <v>5</v>
      </c>
      <c r="H47" s="153">
        <f>+H46</f>
        <v>47.25</v>
      </c>
      <c r="I47" s="154">
        <f>+I46</f>
        <v>80</v>
      </c>
      <c r="J47" s="155">
        <f t="shared" si="9"/>
        <v>4.3749999999999293E-3</v>
      </c>
      <c r="K47" s="154">
        <f>+K46</f>
        <v>158</v>
      </c>
      <c r="L47" s="153">
        <f t="shared" si="10"/>
        <v>5.1920402377148429</v>
      </c>
      <c r="M47" s="156">
        <f t="shared" si="11"/>
        <v>5.1920402377148428E-3</v>
      </c>
      <c r="N47" s="156">
        <f t="shared" si="0"/>
        <v>0.10602900237114536</v>
      </c>
      <c r="O47" s="156">
        <f t="shared" si="1"/>
        <v>4.1743701720923374</v>
      </c>
      <c r="P47" s="157">
        <f t="shared" si="12"/>
        <v>6</v>
      </c>
      <c r="Q47" s="113">
        <f>IF(O47&gt;0,VLOOKUP(P47,'$ alcantarillado'!$I$5:$L$22,4,FALSE),"0")</f>
        <v>0.14499999999999999</v>
      </c>
      <c r="R47" s="160">
        <f t="shared" si="2"/>
        <v>1.1963371481010138E-2</v>
      </c>
      <c r="S47" s="146">
        <f t="shared" si="3"/>
        <v>0.43399473517614517</v>
      </c>
      <c r="T47" s="145">
        <f>+IF(S47&gt;$B$13,VLOOKUP(P47,'$ alcantarillado'!$I$6:$N$22,5),P47)</f>
        <v>6</v>
      </c>
      <c r="U47" s="113">
        <f>IF(O47&gt;0,VLOOKUP(T47,'$ alcantarillado'!$I$5:$L$22,4),"0")</f>
        <v>0.14499999999999999</v>
      </c>
      <c r="V47" s="113">
        <f t="shared" si="4"/>
        <v>1.1963371481010138E-2</v>
      </c>
      <c r="W47" s="146">
        <f t="shared" si="5"/>
        <v>0.43399473517614517</v>
      </c>
      <c r="X47" s="146">
        <f t="shared" si="63"/>
        <v>0.72448217160423212</v>
      </c>
      <c r="Y47" s="113">
        <f>IF(T47&gt;0,(VLOOKUP($W47,Relaciones!$A$4:$D$108,2)),"")</f>
        <v>0.81</v>
      </c>
      <c r="Z47" s="146">
        <f t="shared" si="64"/>
        <v>0.58683055899942804</v>
      </c>
      <c r="AA47" s="146">
        <f t="shared" si="65"/>
        <v>0.15859374999999742</v>
      </c>
      <c r="AB47" s="147" t="str">
        <f t="shared" si="66"/>
        <v>OK</v>
      </c>
      <c r="AC47" s="147" t="str">
        <f t="shared" si="67"/>
        <v>OK</v>
      </c>
      <c r="AD47" s="147" t="str">
        <f t="shared" si="68"/>
        <v>OK</v>
      </c>
      <c r="AE47" s="148">
        <f t="shared" si="69"/>
        <v>1</v>
      </c>
      <c r="AF47" s="148">
        <f t="shared" si="69"/>
        <v>1</v>
      </c>
      <c r="AG47" s="148">
        <f t="shared" si="69"/>
        <v>1</v>
      </c>
      <c r="AH47" s="148">
        <f t="shared" si="70"/>
        <v>3</v>
      </c>
      <c r="AI47" s="147">
        <f t="shared" si="71"/>
        <v>0.64500000000000002</v>
      </c>
      <c r="AJ47" s="158">
        <f>IF(AI47&gt;0,I47*VLOOKUP(T47,'$ alcantarillado'!$I$6:$K$22,3),0)</f>
        <v>1912173.3333333335</v>
      </c>
      <c r="AK47" s="158">
        <f t="shared" si="6"/>
        <v>2686554.0000000042</v>
      </c>
      <c r="AL47" s="158">
        <f t="shared" si="7"/>
        <v>1287774.9450000019</v>
      </c>
      <c r="AM47" s="158">
        <f t="shared" si="22"/>
        <v>5886502.2783333398</v>
      </c>
      <c r="AN47" s="154">
        <v>0</v>
      </c>
      <c r="AO47" s="159">
        <f t="shared" si="8"/>
        <v>5886502.2783333398</v>
      </c>
      <c r="AP47" s="220"/>
      <c r="AQ47" s="142"/>
      <c r="AR47" s="165"/>
    </row>
    <row r="48" spans="1:44" x14ac:dyDescent="0.25">
      <c r="A48" s="210">
        <v>2</v>
      </c>
      <c r="B48" s="210">
        <v>2</v>
      </c>
      <c r="C48" s="210">
        <v>5</v>
      </c>
      <c r="D48" s="210">
        <v>49.2</v>
      </c>
      <c r="E48" s="4">
        <v>1</v>
      </c>
      <c r="F48" s="7">
        <f>+H23</f>
        <v>47.75</v>
      </c>
      <c r="G48" s="4">
        <v>1</v>
      </c>
      <c r="H48" s="64">
        <f>+H58+2*$B$15</f>
        <v>47.14</v>
      </c>
      <c r="I48" s="7">
        <v>80</v>
      </c>
      <c r="J48" s="17">
        <f>+(F48-H48)/I48</f>
        <v>7.6249999999999929E-3</v>
      </c>
      <c r="K48" s="7">
        <f>+K23</f>
        <v>158</v>
      </c>
      <c r="L48" s="14">
        <f>IF(K48&lt;38,K48^0.3686*0.7401,IF(K48&lt;235,K48^0.4193*0.6215,IF(K48&lt;932,K48*0.0092+4.2493,K48*0.0069+6.7345)))</f>
        <v>5.1920402377148429</v>
      </c>
      <c r="M48" s="31">
        <f>+L48/1000</f>
        <v>5.1920402377148428E-3</v>
      </c>
      <c r="N48" s="31">
        <f t="shared" si="0"/>
        <v>9.5540627508621162E-2</v>
      </c>
      <c r="O48" s="31">
        <f t="shared" si="1"/>
        <v>3.7614420278984713</v>
      </c>
      <c r="P48" s="57">
        <f t="shared" si="12"/>
        <v>6</v>
      </c>
      <c r="Q48" s="60">
        <f>IF(O48&gt;0,VLOOKUP(P48,'$ alcantarillado'!$I$5:$L$22,4,FALSE),"0")</f>
        <v>0.14499999999999999</v>
      </c>
      <c r="R48" s="60">
        <f t="shared" si="2"/>
        <v>1.5793721798551638E-2</v>
      </c>
      <c r="S48" s="27">
        <f t="shared" si="3"/>
        <v>0.32874076825837079</v>
      </c>
      <c r="T48" s="57">
        <f>+IF(S48&gt;$B$13,VLOOKUP(P48,'$ alcantarillado'!$I$6:$N$22,5),P48)</f>
        <v>6</v>
      </c>
      <c r="U48" s="60">
        <f>IF(O48&gt;0,VLOOKUP(T48,'$ alcantarillado'!$I$5:$L$22,4),"0")</f>
        <v>0.14499999999999999</v>
      </c>
      <c r="V48" s="60">
        <f t="shared" si="4"/>
        <v>1.5793721798551638E-2</v>
      </c>
      <c r="W48" s="27">
        <f t="shared" si="5"/>
        <v>0.32874076825837079</v>
      </c>
      <c r="X48" s="27">
        <f>IF(T48&gt;0,4*V48/(PI()*(U48)^2),"")</f>
        <v>0.95644190974847587</v>
      </c>
      <c r="Y48" s="60">
        <f>IF(T48&gt;0,(VLOOKUP($W48,Relaciones!$A$4:$D$108,2)),"")</f>
        <v>0.74</v>
      </c>
      <c r="Z48" s="27">
        <f>IF(T48&gt;0,Y48*X48,"")</f>
        <v>0.70776701321387214</v>
      </c>
      <c r="AA48" s="27">
        <f>IF(T48&gt;0,250*U48*J48,"")</f>
        <v>0.27640624999999974</v>
      </c>
      <c r="AB48" s="45" t="str">
        <f>IF(T48&gt;0,IF(W48&lt;=$B$13,"OK","No Cumple"),"")</f>
        <v>OK</v>
      </c>
      <c r="AC48" s="45" t="str">
        <f>IF(T48&gt;0,IF(Z48&gt;=$B$12,"OK","No Cumple"),"")</f>
        <v>OK</v>
      </c>
      <c r="AD48" s="45" t="str">
        <f>IF(T48&gt;0,IF(AA48&gt;$B$14,"OK","No Cumple"),"")</f>
        <v>OK</v>
      </c>
      <c r="AE48" s="32">
        <f>+IF(AB48="OK",1,0)</f>
        <v>1</v>
      </c>
      <c r="AF48" s="32">
        <f>+IF(AC48="OK",1,0)</f>
        <v>1</v>
      </c>
      <c r="AG48" s="32">
        <f>+IF(AD48="OK",1,0)</f>
        <v>1</v>
      </c>
      <c r="AH48" s="32">
        <f>SUM(AE48:AG48)</f>
        <v>3</v>
      </c>
      <c r="AI48" s="45">
        <f>IF(AH48=3,2*$B$7+U48,0)</f>
        <v>0.64500000000000002</v>
      </c>
      <c r="AJ48" s="21">
        <f>IF(AI48&gt;0,I48*VLOOKUP(T48,'$ alcantarillado'!$I$6:$K$22,3),0)</f>
        <v>1912173.3333333335</v>
      </c>
      <c r="AK48" s="21">
        <f t="shared" ref="AK48:AK72" si="75">IF(N48&gt;0,((($D$48-F48)+(U48))+(($D$73-H48)+(U48))/2)*AI48*I48*$C$9,0)</f>
        <v>2454354.0000000042</v>
      </c>
      <c r="AL48" s="21">
        <f t="shared" ref="AL48:AL72" si="76">IF(AI48&gt;0,(($D$48-F48)+U48)*$C$10,0)</f>
        <v>1113279.6950000019</v>
      </c>
      <c r="AM48" s="21">
        <f>IF(AJ48&gt;0,AJ48+AK48+AL48,0)</f>
        <v>5479807.0283333398</v>
      </c>
      <c r="AN48" s="50">
        <f>+AP23</f>
        <v>4840911.7783333398</v>
      </c>
      <c r="AO48" s="77">
        <f>IF((AM48)&gt;0,IF(AN48&gt;0,AM48+AN48,""),"")</f>
        <v>10320718.80666668</v>
      </c>
      <c r="AP48" s="213">
        <f>+MIN(AO48:AO52)</f>
        <v>10320718.80666668</v>
      </c>
      <c r="AQ48" s="7"/>
      <c r="AR48" s="8"/>
    </row>
    <row r="49" spans="1:44" x14ac:dyDescent="0.25">
      <c r="A49" s="211"/>
      <c r="B49" s="211"/>
      <c r="C49" s="211"/>
      <c r="D49" s="211"/>
      <c r="E49" s="5">
        <v>2</v>
      </c>
      <c r="F49" s="2">
        <f>+H28</f>
        <v>47.625</v>
      </c>
      <c r="G49" s="5">
        <v>1</v>
      </c>
      <c r="H49" s="35">
        <f>+H48</f>
        <v>47.14</v>
      </c>
      <c r="I49" s="2">
        <f>+I48</f>
        <v>80</v>
      </c>
      <c r="J49" s="18">
        <f t="shared" si="9"/>
        <v>6.0624999999999932E-3</v>
      </c>
      <c r="K49" s="2">
        <f>+K48</f>
        <v>158</v>
      </c>
      <c r="L49" s="15">
        <f t="shared" si="10"/>
        <v>5.1920402377148429</v>
      </c>
      <c r="M49" s="33">
        <f t="shared" ref="M49:M52" si="77">+L49/1000</f>
        <v>5.1920402377148428E-3</v>
      </c>
      <c r="N49" s="33">
        <f t="shared" si="0"/>
        <v>9.9738046437711433E-2</v>
      </c>
      <c r="O49" s="33">
        <f t="shared" si="1"/>
        <v>3.9266947416421827</v>
      </c>
      <c r="P49" s="58">
        <f t="shared" si="12"/>
        <v>6</v>
      </c>
      <c r="Q49" s="55">
        <f>IF(O49&gt;0,VLOOKUP(P49,'$ alcantarillado'!$I$5:$L$22,4,FALSE),"0")</f>
        <v>0.14499999999999999</v>
      </c>
      <c r="R49" s="55">
        <f t="shared" si="2"/>
        <v>1.4082846175241982E-2</v>
      </c>
      <c r="S49" s="35">
        <f t="shared" si="3"/>
        <v>0.36867833200099759</v>
      </c>
      <c r="T49" s="58">
        <f>+IF(S49&gt;$B$13,VLOOKUP(P49,'$ alcantarillado'!$I$6:$N$22,5),P49)</f>
        <v>6</v>
      </c>
      <c r="U49" s="55">
        <f>IF(O49&gt;0,VLOOKUP(T49,'$ alcantarillado'!$I$5:$L$22,4),"0")</f>
        <v>0.14499999999999999</v>
      </c>
      <c r="V49" s="55">
        <f t="shared" si="4"/>
        <v>1.4082846175241982E-2</v>
      </c>
      <c r="W49" s="35">
        <f t="shared" si="5"/>
        <v>0.36867833200099759</v>
      </c>
      <c r="X49" s="35">
        <f t="shared" ref="X49:X52" si="78">IF(T49&gt;0,4*V49/(PI()*(U49)^2),"")</f>
        <v>0.8528340857427078</v>
      </c>
      <c r="Y49" s="55">
        <f>IF(T49&gt;0,(VLOOKUP($W49,Relaciones!$A$4:$D$108,2)),"")</f>
        <v>0.76800000000000002</v>
      </c>
      <c r="Z49" s="35">
        <f t="shared" ref="Z49:Z52" si="79">IF(T49&gt;0,Y49*X49,"")</f>
        <v>0.65497657785039964</v>
      </c>
      <c r="AA49" s="35">
        <f t="shared" ref="AA49:AA52" si="80">IF(T49&gt;0,250*U49*J49,"")</f>
        <v>0.21976562499999974</v>
      </c>
      <c r="AB49" s="46" t="str">
        <f t="shared" ref="AB49:AB52" si="81">IF(T49&gt;0,IF(W49&lt;=$B$13,"OK","No Cumple"),"")</f>
        <v>OK</v>
      </c>
      <c r="AC49" s="46" t="str">
        <f t="shared" ref="AC49:AC52" si="82">IF(T49&gt;0,IF(Z49&gt;=$B$12,"OK","No Cumple"),"")</f>
        <v>OK</v>
      </c>
      <c r="AD49" s="46" t="str">
        <f t="shared" ref="AD49:AD52" si="83">IF(T49&gt;0,IF(AA49&gt;$B$14,"OK","No Cumple"),"")</f>
        <v>OK</v>
      </c>
      <c r="AE49" s="48">
        <f t="shared" ref="AE49:AG52" si="84">+IF(AB49="OK",1,0)</f>
        <v>1</v>
      </c>
      <c r="AF49" s="48">
        <f t="shared" si="84"/>
        <v>1</v>
      </c>
      <c r="AG49" s="48">
        <f t="shared" si="84"/>
        <v>1</v>
      </c>
      <c r="AH49" s="48">
        <f t="shared" ref="AH49:AH52" si="85">SUM(AE49:AG49)</f>
        <v>3</v>
      </c>
      <c r="AI49" s="46">
        <f t="shared" ref="AI49:AI52" si="86">IF(AH49=3,2*$B$7+U49,0)</f>
        <v>0.64500000000000002</v>
      </c>
      <c r="AJ49" s="20">
        <f>IF(AI49&gt;0,I49*VLOOKUP(T49,'$ alcantarillado'!$I$6:$K$22,3),0)</f>
        <v>1912173.3333333335</v>
      </c>
      <c r="AK49" s="20">
        <f t="shared" si="75"/>
        <v>2570454.0000000042</v>
      </c>
      <c r="AL49" s="20">
        <f t="shared" si="76"/>
        <v>1200527.3200000019</v>
      </c>
      <c r="AM49" s="20">
        <f t="shared" si="22"/>
        <v>5683154.6533333398</v>
      </c>
      <c r="AN49" s="50">
        <f>+AP28</f>
        <v>4898961.7783333398</v>
      </c>
      <c r="AO49" s="78">
        <f t="shared" ref="AO49:AO114" si="87">IF((AM49)&gt;0,IF(AN49&gt;0,AM49+AN49,""),"")</f>
        <v>10582116.43166668</v>
      </c>
      <c r="AP49" s="214"/>
      <c r="AQ49" s="2">
        <v>1</v>
      </c>
      <c r="AR49" s="9">
        <v>1</v>
      </c>
    </row>
    <row r="50" spans="1:44" x14ac:dyDescent="0.25">
      <c r="A50" s="211"/>
      <c r="B50" s="211"/>
      <c r="C50" s="211"/>
      <c r="D50" s="211"/>
      <c r="E50" s="56">
        <v>3</v>
      </c>
      <c r="F50" s="2">
        <f>+H33</f>
        <v>47.5</v>
      </c>
      <c r="G50" s="56">
        <v>1</v>
      </c>
      <c r="H50" s="2">
        <f t="shared" ref="H50:H51" si="88">+H49</f>
        <v>47.14</v>
      </c>
      <c r="I50" s="2">
        <f t="shared" ref="I50:I51" si="89">+I49</f>
        <v>80</v>
      </c>
      <c r="J50" s="18">
        <f t="shared" si="9"/>
        <v>4.4999999999999927E-3</v>
      </c>
      <c r="K50" s="2">
        <f t="shared" ref="K50:K51" si="90">+K49</f>
        <v>158</v>
      </c>
      <c r="L50" s="15">
        <f t="shared" si="10"/>
        <v>5.1920402377148429</v>
      </c>
      <c r="M50" s="33">
        <f t="shared" si="77"/>
        <v>5.1920402377148428E-3</v>
      </c>
      <c r="N50" s="33">
        <f t="shared" si="0"/>
        <v>0.1054704295004068</v>
      </c>
      <c r="O50" s="33">
        <f t="shared" si="1"/>
        <v>4.1523791141892445</v>
      </c>
      <c r="P50" s="58">
        <f t="shared" si="12"/>
        <v>6</v>
      </c>
      <c r="Q50" s="55">
        <f>IF(O50&gt;0,VLOOKUP(P50,'$ alcantarillado'!$I$5:$L$22,4,FALSE),"0")</f>
        <v>0.14499999999999999</v>
      </c>
      <c r="R50" s="55">
        <f t="shared" si="2"/>
        <v>1.2133073169688305E-2</v>
      </c>
      <c r="S50" s="35">
        <f t="shared" si="3"/>
        <v>0.42792457979120757</v>
      </c>
      <c r="T50" s="58">
        <f>+IF(S50&gt;$B$13,VLOOKUP(P50,'$ alcantarillado'!$I$6:$N$22,5),P50)</f>
        <v>6</v>
      </c>
      <c r="U50" s="55">
        <f>IF(O50&gt;0,VLOOKUP(T50,'$ alcantarillado'!$I$5:$L$22,4),"0")</f>
        <v>0.14499999999999999</v>
      </c>
      <c r="V50" s="55">
        <f t="shared" si="4"/>
        <v>1.2133073169688305E-2</v>
      </c>
      <c r="W50" s="35">
        <f t="shared" si="5"/>
        <v>0.42792457979120757</v>
      </c>
      <c r="X50" s="35">
        <f t="shared" si="78"/>
        <v>0.73475902776753177</v>
      </c>
      <c r="Y50" s="55">
        <f>IF(T50&gt;0,(VLOOKUP($W50,Relaciones!$A$4:$D$108,2)),"")</f>
        <v>0.80600000000000005</v>
      </c>
      <c r="Z50" s="35">
        <f t="shared" si="79"/>
        <v>0.59221577638063061</v>
      </c>
      <c r="AA50" s="35">
        <f t="shared" si="80"/>
        <v>0.16312499999999974</v>
      </c>
      <c r="AB50" s="46" t="str">
        <f t="shared" si="81"/>
        <v>OK</v>
      </c>
      <c r="AC50" s="46" t="str">
        <f t="shared" si="82"/>
        <v>OK</v>
      </c>
      <c r="AD50" s="46" t="str">
        <f t="shared" si="83"/>
        <v>OK</v>
      </c>
      <c r="AE50" s="48">
        <f t="shared" si="84"/>
        <v>1</v>
      </c>
      <c r="AF50" s="48">
        <f t="shared" si="84"/>
        <v>1</v>
      </c>
      <c r="AG50" s="48">
        <f t="shared" si="84"/>
        <v>1</v>
      </c>
      <c r="AH50" s="48">
        <f t="shared" si="85"/>
        <v>3</v>
      </c>
      <c r="AI50" s="46">
        <f t="shared" si="86"/>
        <v>0.64500000000000002</v>
      </c>
      <c r="AJ50" s="20">
        <f>IF(AI50&gt;0,I50*VLOOKUP(T50,'$ alcantarillado'!$I$6:$K$22,3),0)</f>
        <v>1912173.3333333335</v>
      </c>
      <c r="AK50" s="20">
        <f t="shared" si="75"/>
        <v>2686554.0000000042</v>
      </c>
      <c r="AL50" s="20">
        <f t="shared" si="76"/>
        <v>1287774.9450000019</v>
      </c>
      <c r="AM50" s="20">
        <f t="shared" si="22"/>
        <v>5886502.2783333398</v>
      </c>
      <c r="AN50" s="50">
        <f>+AP33</f>
        <v>4957011.7783333398</v>
      </c>
      <c r="AO50" s="78">
        <f t="shared" si="87"/>
        <v>10843514.05666668</v>
      </c>
      <c r="AP50" s="215"/>
      <c r="AQ50" s="2"/>
      <c r="AR50" s="9"/>
    </row>
    <row r="51" spans="1:44" x14ac:dyDescent="0.25">
      <c r="A51" s="211"/>
      <c r="B51" s="211"/>
      <c r="C51" s="211"/>
      <c r="D51" s="211"/>
      <c r="E51" s="56">
        <v>4</v>
      </c>
      <c r="F51" s="2">
        <f>+H38</f>
        <v>47.375</v>
      </c>
      <c r="G51" s="56">
        <v>1</v>
      </c>
      <c r="H51" s="2">
        <f t="shared" si="88"/>
        <v>47.14</v>
      </c>
      <c r="I51" s="2">
        <f t="shared" si="89"/>
        <v>80</v>
      </c>
      <c r="J51" s="18">
        <f>+(F51-H51)/I51</f>
        <v>2.9374999999999931E-3</v>
      </c>
      <c r="K51" s="2">
        <f t="shared" si="90"/>
        <v>158</v>
      </c>
      <c r="L51" s="15">
        <f t="shared" si="10"/>
        <v>5.1920402377148429</v>
      </c>
      <c r="M51" s="33">
        <f t="shared" si="77"/>
        <v>5.1920402377148428E-3</v>
      </c>
      <c r="N51" s="33">
        <f t="shared" si="0"/>
        <v>0.11425157857489923</v>
      </c>
      <c r="O51" s="33">
        <f t="shared" si="1"/>
        <v>4.498093644681072</v>
      </c>
      <c r="P51" s="58">
        <f t="shared" si="12"/>
        <v>6</v>
      </c>
      <c r="Q51" s="55">
        <f>IF(O51&gt;0,VLOOKUP(P51,'$ alcantarillado'!$I$5:$L$22,4,FALSE),"0")</f>
        <v>0.14499999999999999</v>
      </c>
      <c r="R51" s="55">
        <f t="shared" si="2"/>
        <v>9.8028757355427456E-3</v>
      </c>
      <c r="S51" s="35">
        <f t="shared" si="3"/>
        <v>0.52964460407162151</v>
      </c>
      <c r="T51" s="58">
        <f>+IF(S51&gt;$B$13,VLOOKUP(P51,'$ alcantarillado'!$I$6:$N$22,5),P51)</f>
        <v>6</v>
      </c>
      <c r="U51" s="55">
        <f>IF(O51&gt;0,VLOOKUP(T51,'$ alcantarillado'!$I$5:$L$22,4),"0")</f>
        <v>0.14499999999999999</v>
      </c>
      <c r="V51" s="55">
        <f t="shared" si="4"/>
        <v>9.8028757355427456E-3</v>
      </c>
      <c r="W51" s="35">
        <f t="shared" si="5"/>
        <v>0.52964460407162151</v>
      </c>
      <c r="X51" s="35">
        <f t="shared" si="78"/>
        <v>0.59364608982724476</v>
      </c>
      <c r="Y51" s="55">
        <f>IF(T51&gt;0,(VLOOKUP($W51,Relaciones!$A$4:$D$108,2)),"")</f>
        <v>0.86</v>
      </c>
      <c r="Z51" s="35">
        <f t="shared" si="79"/>
        <v>0.51053563725143047</v>
      </c>
      <c r="AA51" s="35">
        <f t="shared" si="80"/>
        <v>0.10648437499999974</v>
      </c>
      <c r="AB51" s="46" t="str">
        <f t="shared" si="81"/>
        <v>OK</v>
      </c>
      <c r="AC51" s="46" t="str">
        <f t="shared" si="82"/>
        <v>OK</v>
      </c>
      <c r="AD51" s="46" t="str">
        <f t="shared" si="83"/>
        <v>No Cumple</v>
      </c>
      <c r="AE51" s="48">
        <f t="shared" si="84"/>
        <v>1</v>
      </c>
      <c r="AF51" s="48">
        <f t="shared" si="84"/>
        <v>1</v>
      </c>
      <c r="AG51" s="48">
        <f t="shared" si="84"/>
        <v>0</v>
      </c>
      <c r="AH51" s="48">
        <f t="shared" si="85"/>
        <v>2</v>
      </c>
      <c r="AI51" s="46">
        <f t="shared" si="86"/>
        <v>0</v>
      </c>
      <c r="AJ51" s="20">
        <f>IF(AI51&gt;0,I51*VLOOKUP(T51,'$ alcantarillado'!$I$6:$K$22,3),0)</f>
        <v>0</v>
      </c>
      <c r="AK51" s="20">
        <f t="shared" si="75"/>
        <v>0</v>
      </c>
      <c r="AL51" s="20">
        <f t="shared" si="76"/>
        <v>0</v>
      </c>
      <c r="AM51" s="20">
        <f t="shared" si="22"/>
        <v>0</v>
      </c>
      <c r="AN51" s="50">
        <f>+AP38</f>
        <v>5015061.7783333398</v>
      </c>
      <c r="AO51" s="78" t="str">
        <f t="shared" si="87"/>
        <v/>
      </c>
      <c r="AP51" s="215"/>
      <c r="AQ51" s="2"/>
      <c r="AR51" s="9"/>
    </row>
    <row r="52" spans="1:44" ht="15.75" thickBot="1" x14ac:dyDescent="0.3">
      <c r="A52" s="211"/>
      <c r="B52" s="211"/>
      <c r="C52" s="211"/>
      <c r="D52" s="211"/>
      <c r="E52" s="6">
        <v>5</v>
      </c>
      <c r="F52" s="65">
        <f>+H43</f>
        <v>47.25</v>
      </c>
      <c r="G52" s="6">
        <v>1</v>
      </c>
      <c r="H52" s="10">
        <f>+H51</f>
        <v>47.14</v>
      </c>
      <c r="I52" s="10">
        <f>+I51</f>
        <v>80</v>
      </c>
      <c r="J52" s="19">
        <f t="shared" si="9"/>
        <v>1.374999999999993E-3</v>
      </c>
      <c r="K52" s="10">
        <f>+K51</f>
        <v>158</v>
      </c>
      <c r="L52" s="16">
        <f t="shared" si="10"/>
        <v>5.1920402377148429</v>
      </c>
      <c r="M52" s="34">
        <f t="shared" si="77"/>
        <v>5.1920402377148428E-3</v>
      </c>
      <c r="N52" s="34">
        <f t="shared" si="0"/>
        <v>0.1317274561340005</v>
      </c>
      <c r="O52" s="34">
        <f t="shared" si="1"/>
        <v>5.18612032023624</v>
      </c>
      <c r="P52" s="59">
        <f t="shared" si="12"/>
        <v>6</v>
      </c>
      <c r="Q52" s="55">
        <f>IF(O52&gt;0,VLOOKUP(P52,'$ alcantarillado'!$I$5:$L$22,4,FALSE),"0")</f>
        <v>0.14499999999999999</v>
      </c>
      <c r="R52" s="55">
        <f t="shared" si="2"/>
        <v>6.7068085429640217E-3</v>
      </c>
      <c r="S52" s="35">
        <f t="shared" si="3"/>
        <v>0.77414469258433027</v>
      </c>
      <c r="T52" s="58">
        <f>+IF(S52&gt;$B$13,VLOOKUP(P52,'$ alcantarillado'!$I$6:$N$22,5),P52)</f>
        <v>6</v>
      </c>
      <c r="U52" s="55">
        <f>IF(O52&gt;0,VLOOKUP(T52,'$ alcantarillado'!$I$5:$L$22,4),"0")</f>
        <v>0.14499999999999999</v>
      </c>
      <c r="V52" s="55">
        <f t="shared" si="4"/>
        <v>6.7068085429640217E-3</v>
      </c>
      <c r="W52" s="35">
        <f t="shared" si="5"/>
        <v>0.77414469258433027</v>
      </c>
      <c r="X52" s="35">
        <f t="shared" si="78"/>
        <v>0.4061533344052039</v>
      </c>
      <c r="Y52" s="55">
        <f>IF(T52&gt;0,(VLOOKUP($W52,Relaciones!$A$4:$D$108,2)),"")</f>
        <v>0.97199999999999998</v>
      </c>
      <c r="Z52" s="35">
        <f t="shared" si="79"/>
        <v>0.39478104104185818</v>
      </c>
      <c r="AA52" s="35">
        <f t="shared" si="80"/>
        <v>4.9843749999999742E-2</v>
      </c>
      <c r="AB52" s="46" t="str">
        <f t="shared" si="81"/>
        <v>OK</v>
      </c>
      <c r="AC52" s="46" t="str">
        <f t="shared" si="82"/>
        <v>No Cumple</v>
      </c>
      <c r="AD52" s="46" t="str">
        <f t="shared" si="83"/>
        <v>No Cumple</v>
      </c>
      <c r="AE52" s="48">
        <f t="shared" si="84"/>
        <v>1</v>
      </c>
      <c r="AF52" s="48">
        <f t="shared" si="84"/>
        <v>0</v>
      </c>
      <c r="AG52" s="48">
        <f t="shared" si="84"/>
        <v>0</v>
      </c>
      <c r="AH52" s="48">
        <f t="shared" si="85"/>
        <v>1</v>
      </c>
      <c r="AI52" s="46">
        <f t="shared" si="86"/>
        <v>0</v>
      </c>
      <c r="AJ52" s="22">
        <f>IF(AI52&gt;0,I52*VLOOKUP(T52,'$ alcantarillado'!$I$6:$K$22,3),0)</f>
        <v>0</v>
      </c>
      <c r="AK52" s="20">
        <f t="shared" si="75"/>
        <v>0</v>
      </c>
      <c r="AL52" s="20">
        <f t="shared" si="76"/>
        <v>0</v>
      </c>
      <c r="AM52" s="22">
        <f t="shared" si="22"/>
        <v>0</v>
      </c>
      <c r="AN52" s="50">
        <f>+AP43</f>
        <v>5073111.7783333398</v>
      </c>
      <c r="AO52" s="79" t="str">
        <f t="shared" si="87"/>
        <v/>
      </c>
      <c r="AP52" s="216"/>
      <c r="AQ52" s="10"/>
      <c r="AR52" s="11"/>
    </row>
    <row r="53" spans="1:44" x14ac:dyDescent="0.25">
      <c r="A53" s="211"/>
      <c r="B53" s="211"/>
      <c r="C53" s="211"/>
      <c r="D53" s="211"/>
      <c r="E53" s="4">
        <v>1</v>
      </c>
      <c r="F53" s="7">
        <f>+H23</f>
        <v>47.75</v>
      </c>
      <c r="G53" s="4">
        <v>2</v>
      </c>
      <c r="H53" s="35">
        <f>+H58+$B$15</f>
        <v>47.015000000000001</v>
      </c>
      <c r="I53" s="2">
        <f>+I52</f>
        <v>80</v>
      </c>
      <c r="J53" s="18">
        <f>+(F53-H53)/I53</f>
        <v>9.1874999999999925E-3</v>
      </c>
      <c r="K53" s="2">
        <f>+K52</f>
        <v>158</v>
      </c>
      <c r="L53" s="14">
        <f>IF(K53&lt;38,K53^0.3686*0.7401,IF(K53&lt;235,K53^0.4193*0.6215,IF(K53&lt;932,K53*0.0092+4.2493,K53*0.0069+6.7345)))</f>
        <v>5.1920402377148429</v>
      </c>
      <c r="M53" s="31">
        <f>+L53/1000</f>
        <v>5.1920402377148428E-3</v>
      </c>
      <c r="N53" s="31">
        <f t="shared" si="0"/>
        <v>9.2258960576735272E-2</v>
      </c>
      <c r="O53" s="31">
        <f t="shared" si="1"/>
        <v>3.6322425423911526</v>
      </c>
      <c r="P53" s="57">
        <f t="shared" si="12"/>
        <v>6</v>
      </c>
      <c r="Q53" s="60">
        <f>IF(O53&gt;0,VLOOKUP(P53,'$ alcantarillado'!$I$5:$L$22,4,FALSE),"0")</f>
        <v>0.14499999999999999</v>
      </c>
      <c r="R53" s="60">
        <f t="shared" si="2"/>
        <v>1.7336572328593754E-2</v>
      </c>
      <c r="S53" s="27">
        <f t="shared" si="3"/>
        <v>0.29948481968096125</v>
      </c>
      <c r="T53" s="57">
        <f>+IF(S53&gt;$B$13,VLOOKUP(P53,'$ alcantarillado'!$I$6:$N$22,5),P53)</f>
        <v>6</v>
      </c>
      <c r="U53" s="60">
        <f>IF(O53&gt;0,VLOOKUP(T53,'$ alcantarillado'!$I$5:$L$22,4),"0")</f>
        <v>0.14499999999999999</v>
      </c>
      <c r="V53" s="60">
        <f t="shared" si="4"/>
        <v>1.7336572328593754E-2</v>
      </c>
      <c r="W53" s="27">
        <f t="shared" si="5"/>
        <v>0.29948481968096125</v>
      </c>
      <c r="X53" s="27">
        <f>IF(T53&gt;0,4*V53/(PI()*(U53)^2),"")</f>
        <v>1.0498744094614476</v>
      </c>
      <c r="Y53" s="60">
        <f>IF(T53&gt;0,(VLOOKUP($W53,Relaciones!$A$4:$D$108,2)),"")</f>
        <v>0.72</v>
      </c>
      <c r="Z53" s="27">
        <f>IF(T53&gt;0,Y53*X53,"")</f>
        <v>0.7559095748122423</v>
      </c>
      <c r="AA53" s="27">
        <f>IF(T53&gt;0,250*U53*J53,"")</f>
        <v>0.33304687499999974</v>
      </c>
      <c r="AB53" s="45" t="str">
        <f>IF(T53&gt;0,IF(W53&lt;=$B$13,"OK","No Cumple"),"")</f>
        <v>OK</v>
      </c>
      <c r="AC53" s="45" t="str">
        <f>IF(T53&gt;0,IF(Z53&gt;=$B$12,"OK","No Cumple"),"")</f>
        <v>OK</v>
      </c>
      <c r="AD53" s="45" t="str">
        <f>IF(T53&gt;0,IF(AA53&gt;$B$14,"OK","No Cumple"),"")</f>
        <v>OK</v>
      </c>
      <c r="AE53" s="32">
        <f>+IF(AB53="OK",1,0)</f>
        <v>1</v>
      </c>
      <c r="AF53" s="32">
        <f>+IF(AC53="OK",1,0)</f>
        <v>1</v>
      </c>
      <c r="AG53" s="32">
        <f>+IF(AD53="OK",1,0)</f>
        <v>1</v>
      </c>
      <c r="AH53" s="32">
        <f>SUM(AE53:AG53)</f>
        <v>3</v>
      </c>
      <c r="AI53" s="45">
        <f>IF(AH53=3,2*$B$7+U53,0)</f>
        <v>0.64500000000000002</v>
      </c>
      <c r="AJ53" s="21">
        <f>IF(AI53&gt;0,I53*VLOOKUP(T53,'$ alcantarillado'!$I$6:$K$22,3),0)</f>
        <v>1912173.3333333335</v>
      </c>
      <c r="AK53" s="21">
        <f t="shared" si="75"/>
        <v>2512404.0000000042</v>
      </c>
      <c r="AL53" s="21">
        <f t="shared" si="76"/>
        <v>1113279.6950000019</v>
      </c>
      <c r="AM53" s="21">
        <f>IF(AJ53&gt;0,AJ53+AK53+AL53,0)</f>
        <v>5537857.0283333398</v>
      </c>
      <c r="AN53" s="49">
        <f>IF(AP23&gt;0,+AP23,0)</f>
        <v>4840911.7783333398</v>
      </c>
      <c r="AO53" s="67">
        <f>IF((AM53)&gt;0,IF(AN53&gt;0,AM53+AN53,""),"")</f>
        <v>10378768.80666668</v>
      </c>
      <c r="AP53" s="221">
        <f>+MIN(AO53:AO57)</f>
        <v>10378768.80666668</v>
      </c>
      <c r="AQ53" s="2"/>
      <c r="AR53" s="9"/>
    </row>
    <row r="54" spans="1:44" x14ac:dyDescent="0.25">
      <c r="A54" s="211"/>
      <c r="B54" s="211"/>
      <c r="C54" s="211"/>
      <c r="D54" s="211"/>
      <c r="E54" s="5">
        <v>2</v>
      </c>
      <c r="F54" s="2">
        <f>+H28</f>
        <v>47.625</v>
      </c>
      <c r="G54" s="5">
        <v>2</v>
      </c>
      <c r="H54" s="35">
        <f>+H53</f>
        <v>47.015000000000001</v>
      </c>
      <c r="I54" s="2">
        <f>+I53</f>
        <v>80</v>
      </c>
      <c r="J54" s="18">
        <f t="shared" si="9"/>
        <v>7.6249999999999929E-3</v>
      </c>
      <c r="K54" s="2">
        <f>+K53</f>
        <v>158</v>
      </c>
      <c r="L54" s="15">
        <f t="shared" si="10"/>
        <v>5.1920402377148429</v>
      </c>
      <c r="M54" s="33">
        <f t="shared" ref="M54:M57" si="91">+L54/1000</f>
        <v>5.1920402377148428E-3</v>
      </c>
      <c r="N54" s="33">
        <f t="shared" si="0"/>
        <v>9.5540627508621162E-2</v>
      </c>
      <c r="O54" s="33">
        <f t="shared" si="1"/>
        <v>3.7614420278984713</v>
      </c>
      <c r="P54" s="58">
        <f t="shared" si="12"/>
        <v>6</v>
      </c>
      <c r="Q54" s="55">
        <f>IF(O54&gt;0,VLOOKUP(P54,'$ alcantarillado'!$I$5:$L$22,4,FALSE),"0")</f>
        <v>0.14499999999999999</v>
      </c>
      <c r="R54" s="55">
        <f t="shared" si="2"/>
        <v>1.5793721798551638E-2</v>
      </c>
      <c r="S54" s="35">
        <f t="shared" si="3"/>
        <v>0.32874076825837079</v>
      </c>
      <c r="T54" s="58">
        <f>+IF(S54&gt;$B$13,VLOOKUP(P54,'$ alcantarillado'!$I$6:$N$22,5),P54)</f>
        <v>6</v>
      </c>
      <c r="U54" s="55">
        <f>IF(O54&gt;0,VLOOKUP(T54,'$ alcantarillado'!$I$5:$L$22,4),"0")</f>
        <v>0.14499999999999999</v>
      </c>
      <c r="V54" s="55">
        <f t="shared" si="4"/>
        <v>1.5793721798551638E-2</v>
      </c>
      <c r="W54" s="35">
        <f t="shared" si="5"/>
        <v>0.32874076825837079</v>
      </c>
      <c r="X54" s="35">
        <f t="shared" ref="X54:X57" si="92">IF(T54&gt;0,4*V54/(PI()*(U54)^2),"")</f>
        <v>0.95644190974847587</v>
      </c>
      <c r="Y54" s="55">
        <f>IF(T54&gt;0,(VLOOKUP($W54,Relaciones!$A$4:$D$108,2)),"")</f>
        <v>0.74</v>
      </c>
      <c r="Z54" s="35">
        <f t="shared" ref="Z54:Z57" si="93">IF(T54&gt;0,Y54*X54,"")</f>
        <v>0.70776701321387214</v>
      </c>
      <c r="AA54" s="35">
        <f t="shared" ref="AA54:AA57" si="94">IF(T54&gt;0,250*U54*J54,"")</f>
        <v>0.27640624999999974</v>
      </c>
      <c r="AB54" s="46" t="str">
        <f t="shared" ref="AB54:AB57" si="95">IF(T54&gt;0,IF(W54&lt;=$B$13,"OK","No Cumple"),"")</f>
        <v>OK</v>
      </c>
      <c r="AC54" s="46" t="str">
        <f t="shared" ref="AC54:AC57" si="96">IF(T54&gt;0,IF(Z54&gt;=$B$12,"OK","No Cumple"),"")</f>
        <v>OK</v>
      </c>
      <c r="AD54" s="46" t="str">
        <f t="shared" ref="AD54:AD57" si="97">IF(T54&gt;0,IF(AA54&gt;$B$14,"OK","No Cumple"),"")</f>
        <v>OK</v>
      </c>
      <c r="AE54" s="48">
        <f t="shared" ref="AE54:AG57" si="98">+IF(AB54="OK",1,0)</f>
        <v>1</v>
      </c>
      <c r="AF54" s="48">
        <f t="shared" si="98"/>
        <v>1</v>
      </c>
      <c r="AG54" s="48">
        <f t="shared" si="98"/>
        <v>1</v>
      </c>
      <c r="AH54" s="48">
        <f t="shared" ref="AH54:AH57" si="99">SUM(AE54:AG54)</f>
        <v>3</v>
      </c>
      <c r="AI54" s="46">
        <f t="shared" ref="AI54:AI57" si="100">IF(AH54=3,2*$B$7+U54,0)</f>
        <v>0.64500000000000002</v>
      </c>
      <c r="AJ54" s="20">
        <f>IF(AI54&gt;0,I54*VLOOKUP(T54,'$ alcantarillado'!$I$6:$K$22,3),0)</f>
        <v>1912173.3333333335</v>
      </c>
      <c r="AK54" s="20">
        <f t="shared" si="75"/>
        <v>2628504.0000000047</v>
      </c>
      <c r="AL54" s="20">
        <f t="shared" si="76"/>
        <v>1200527.3200000019</v>
      </c>
      <c r="AM54" s="20">
        <f t="shared" si="22"/>
        <v>5741204.6533333398</v>
      </c>
      <c r="AN54" s="50">
        <f>+AP28</f>
        <v>4898961.7783333398</v>
      </c>
      <c r="AO54" s="78">
        <f t="shared" si="87"/>
        <v>10640166.43166668</v>
      </c>
      <c r="AP54" s="222"/>
      <c r="AQ54" s="2">
        <v>1</v>
      </c>
      <c r="AR54" s="9">
        <v>2</v>
      </c>
    </row>
    <row r="55" spans="1:44" x14ac:dyDescent="0.25">
      <c r="A55" s="211"/>
      <c r="B55" s="211"/>
      <c r="C55" s="211"/>
      <c r="D55" s="211"/>
      <c r="E55" s="56">
        <v>3</v>
      </c>
      <c r="F55" s="2">
        <f>+H33</f>
        <v>47.5</v>
      </c>
      <c r="G55" s="56">
        <v>2</v>
      </c>
      <c r="H55" s="35">
        <f t="shared" ref="H55:H56" si="101">+H54</f>
        <v>47.015000000000001</v>
      </c>
      <c r="I55" s="2">
        <f t="shared" ref="I55:I56" si="102">+I54</f>
        <v>80</v>
      </c>
      <c r="J55" s="18">
        <f t="shared" si="9"/>
        <v>6.0624999999999932E-3</v>
      </c>
      <c r="K55" s="2">
        <f t="shared" ref="K55:K56" si="103">+K54</f>
        <v>158</v>
      </c>
      <c r="L55" s="15">
        <f t="shared" si="10"/>
        <v>5.1920402377148429</v>
      </c>
      <c r="M55" s="33">
        <f t="shared" si="91"/>
        <v>5.1920402377148428E-3</v>
      </c>
      <c r="N55" s="33">
        <f t="shared" si="0"/>
        <v>9.9738046437711433E-2</v>
      </c>
      <c r="O55" s="33">
        <f t="shared" si="1"/>
        <v>3.9266947416421827</v>
      </c>
      <c r="P55" s="58">
        <f t="shared" si="12"/>
        <v>6</v>
      </c>
      <c r="Q55" s="55">
        <f>IF(O55&gt;0,VLOOKUP(P55,'$ alcantarillado'!$I$5:$L$22,4,FALSE),"0")</f>
        <v>0.14499999999999999</v>
      </c>
      <c r="R55" s="55">
        <f t="shared" si="2"/>
        <v>1.4082846175241982E-2</v>
      </c>
      <c r="S55" s="35">
        <f t="shared" si="3"/>
        <v>0.36867833200099759</v>
      </c>
      <c r="T55" s="58">
        <f>+IF(S55&gt;$B$13,VLOOKUP(P55,'$ alcantarillado'!$I$6:$N$22,5),P55)</f>
        <v>6</v>
      </c>
      <c r="U55" s="55">
        <f>IF(O55&gt;0,VLOOKUP(T55,'$ alcantarillado'!$I$5:$L$22,4),"0")</f>
        <v>0.14499999999999999</v>
      </c>
      <c r="V55" s="55">
        <f t="shared" si="4"/>
        <v>1.4082846175241982E-2</v>
      </c>
      <c r="W55" s="35">
        <f t="shared" ref="W55:W86" si="104">IF(T55&gt;0,M55/V55,0)</f>
        <v>0.36867833200099759</v>
      </c>
      <c r="X55" s="35">
        <f t="shared" si="92"/>
        <v>0.8528340857427078</v>
      </c>
      <c r="Y55" s="55">
        <f>IF(T55&gt;0,(VLOOKUP($W55,Relaciones!$A$4:$D$108,2)),"")</f>
        <v>0.76800000000000002</v>
      </c>
      <c r="Z55" s="35">
        <f t="shared" si="93"/>
        <v>0.65497657785039964</v>
      </c>
      <c r="AA55" s="35">
        <f t="shared" si="94"/>
        <v>0.21976562499999974</v>
      </c>
      <c r="AB55" s="46" t="str">
        <f t="shared" si="95"/>
        <v>OK</v>
      </c>
      <c r="AC55" s="46" t="str">
        <f t="shared" si="96"/>
        <v>OK</v>
      </c>
      <c r="AD55" s="46" t="str">
        <f t="shared" si="97"/>
        <v>OK</v>
      </c>
      <c r="AE55" s="48">
        <f t="shared" si="98"/>
        <v>1</v>
      </c>
      <c r="AF55" s="48">
        <f t="shared" si="98"/>
        <v>1</v>
      </c>
      <c r="AG55" s="48">
        <f t="shared" si="98"/>
        <v>1</v>
      </c>
      <c r="AH55" s="48">
        <f t="shared" si="99"/>
        <v>3</v>
      </c>
      <c r="AI55" s="46">
        <f t="shared" si="100"/>
        <v>0.64500000000000002</v>
      </c>
      <c r="AJ55" s="20">
        <f>IF(AI55&gt;0,I55*VLOOKUP(T55,'$ alcantarillado'!$I$6:$K$22,3),0)</f>
        <v>1912173.3333333335</v>
      </c>
      <c r="AK55" s="20">
        <f t="shared" si="75"/>
        <v>2744604.0000000042</v>
      </c>
      <c r="AL55" s="20">
        <f t="shared" si="76"/>
        <v>1287774.9450000019</v>
      </c>
      <c r="AM55" s="20">
        <f t="shared" si="22"/>
        <v>5944552.2783333398</v>
      </c>
      <c r="AN55" s="50">
        <f>+AP33</f>
        <v>4957011.7783333398</v>
      </c>
      <c r="AO55" s="78">
        <f t="shared" si="87"/>
        <v>10901564.05666668</v>
      </c>
      <c r="AP55" s="223"/>
      <c r="AQ55" s="2"/>
      <c r="AR55" s="9"/>
    </row>
    <row r="56" spans="1:44" x14ac:dyDescent="0.25">
      <c r="A56" s="211"/>
      <c r="B56" s="211"/>
      <c r="C56" s="211"/>
      <c r="D56" s="211"/>
      <c r="E56" s="56">
        <v>4</v>
      </c>
      <c r="F56" s="2">
        <f>+H38</f>
        <v>47.375</v>
      </c>
      <c r="G56" s="56">
        <v>2</v>
      </c>
      <c r="H56" s="35">
        <f t="shared" si="101"/>
        <v>47.015000000000001</v>
      </c>
      <c r="I56" s="2">
        <f t="shared" si="102"/>
        <v>80</v>
      </c>
      <c r="J56" s="18">
        <f>+(F56-H56)/I56</f>
        <v>4.4999999999999927E-3</v>
      </c>
      <c r="K56" s="2">
        <f t="shared" si="103"/>
        <v>158</v>
      </c>
      <c r="L56" s="15">
        <f t="shared" si="10"/>
        <v>5.1920402377148429</v>
      </c>
      <c r="M56" s="33">
        <f t="shared" si="91"/>
        <v>5.1920402377148428E-3</v>
      </c>
      <c r="N56" s="33">
        <f t="shared" si="0"/>
        <v>0.1054704295004068</v>
      </c>
      <c r="O56" s="33">
        <f t="shared" si="1"/>
        <v>4.1523791141892445</v>
      </c>
      <c r="P56" s="58">
        <f t="shared" si="12"/>
        <v>6</v>
      </c>
      <c r="Q56" s="55">
        <f>IF(O56&gt;0,VLOOKUP(P56,'$ alcantarillado'!$I$5:$L$22,4,FALSE),"0")</f>
        <v>0.14499999999999999</v>
      </c>
      <c r="R56" s="55">
        <f t="shared" si="2"/>
        <v>1.2133073169688305E-2</v>
      </c>
      <c r="S56" s="35">
        <f t="shared" si="3"/>
        <v>0.42792457979120757</v>
      </c>
      <c r="T56" s="58">
        <f>+IF(S56&gt;$B$13,VLOOKUP(P56,'$ alcantarillado'!$I$6:$N$22,5),P56)</f>
        <v>6</v>
      </c>
      <c r="U56" s="55">
        <f>IF(O56&gt;0,VLOOKUP(T56,'$ alcantarillado'!$I$5:$L$22,4),"0")</f>
        <v>0.14499999999999999</v>
      </c>
      <c r="V56" s="55">
        <f t="shared" si="4"/>
        <v>1.2133073169688305E-2</v>
      </c>
      <c r="W56" s="35">
        <f t="shared" si="104"/>
        <v>0.42792457979120757</v>
      </c>
      <c r="X56" s="35">
        <f t="shared" si="92"/>
        <v>0.73475902776753177</v>
      </c>
      <c r="Y56" s="55">
        <f>IF(T56&gt;0,(VLOOKUP($W56,Relaciones!$A$4:$D$108,2)),"")</f>
        <v>0.80600000000000005</v>
      </c>
      <c r="Z56" s="35">
        <f t="shared" si="93"/>
        <v>0.59221577638063061</v>
      </c>
      <c r="AA56" s="35">
        <f t="shared" si="94"/>
        <v>0.16312499999999974</v>
      </c>
      <c r="AB56" s="46" t="str">
        <f t="shared" si="95"/>
        <v>OK</v>
      </c>
      <c r="AC56" s="46" t="str">
        <f t="shared" si="96"/>
        <v>OK</v>
      </c>
      <c r="AD56" s="46" t="str">
        <f t="shared" si="97"/>
        <v>OK</v>
      </c>
      <c r="AE56" s="48">
        <f t="shared" si="98"/>
        <v>1</v>
      </c>
      <c r="AF56" s="48">
        <f t="shared" si="98"/>
        <v>1</v>
      </c>
      <c r="AG56" s="48">
        <f t="shared" si="98"/>
        <v>1</v>
      </c>
      <c r="AH56" s="48">
        <f t="shared" si="99"/>
        <v>3</v>
      </c>
      <c r="AI56" s="46">
        <f t="shared" si="100"/>
        <v>0.64500000000000002</v>
      </c>
      <c r="AJ56" s="20">
        <f>IF(AI56&gt;0,I56*VLOOKUP(T56,'$ alcantarillado'!$I$6:$K$22,3),0)</f>
        <v>1912173.3333333335</v>
      </c>
      <c r="AK56" s="20">
        <f t="shared" si="75"/>
        <v>2860704.0000000047</v>
      </c>
      <c r="AL56" s="20">
        <f t="shared" si="76"/>
        <v>1375022.5700000019</v>
      </c>
      <c r="AM56" s="20">
        <f t="shared" si="22"/>
        <v>6147899.9033333398</v>
      </c>
      <c r="AN56" s="50">
        <f>+AP38</f>
        <v>5015061.7783333398</v>
      </c>
      <c r="AO56" s="78">
        <f t="shared" si="87"/>
        <v>11162961.68166668</v>
      </c>
      <c r="AP56" s="223"/>
      <c r="AQ56" s="2"/>
      <c r="AR56" s="9"/>
    </row>
    <row r="57" spans="1:44" ht="15.75" thickBot="1" x14ac:dyDescent="0.3">
      <c r="A57" s="211"/>
      <c r="B57" s="211"/>
      <c r="C57" s="211"/>
      <c r="D57" s="211"/>
      <c r="E57" s="6">
        <v>5</v>
      </c>
      <c r="F57" s="16">
        <f>+H43</f>
        <v>47.25</v>
      </c>
      <c r="G57" s="6">
        <v>2</v>
      </c>
      <c r="H57" s="65">
        <f>+H56</f>
        <v>47.015000000000001</v>
      </c>
      <c r="I57" s="10">
        <f>+I56</f>
        <v>80</v>
      </c>
      <c r="J57" s="19">
        <f t="shared" si="9"/>
        <v>2.9374999999999931E-3</v>
      </c>
      <c r="K57" s="10">
        <f>+K56</f>
        <v>158</v>
      </c>
      <c r="L57" s="16">
        <f t="shared" si="10"/>
        <v>5.1920402377148429</v>
      </c>
      <c r="M57" s="34">
        <f t="shared" si="91"/>
        <v>5.1920402377148428E-3</v>
      </c>
      <c r="N57" s="34">
        <f t="shared" si="0"/>
        <v>0.11425157857489923</v>
      </c>
      <c r="O57" s="34">
        <f t="shared" si="1"/>
        <v>4.498093644681072</v>
      </c>
      <c r="P57" s="59">
        <f t="shared" si="12"/>
        <v>6</v>
      </c>
      <c r="Q57" s="55">
        <f>IF(O57&gt;0,VLOOKUP(P57,'$ alcantarillado'!$I$5:$L$22,4,FALSE),"0")</f>
        <v>0.14499999999999999</v>
      </c>
      <c r="R57" s="47">
        <f t="shared" si="2"/>
        <v>9.8028757355427456E-3</v>
      </c>
      <c r="S57" s="35">
        <f t="shared" si="3"/>
        <v>0.52964460407162151</v>
      </c>
      <c r="T57" s="58">
        <f>+IF(S57&gt;$B$13,VLOOKUP(P57,'$ alcantarillado'!$I$6:$N$22,5),P57)</f>
        <v>6</v>
      </c>
      <c r="U57" s="55">
        <f>IF(O57&gt;0,VLOOKUP(T57,'$ alcantarillado'!$I$5:$L$22,4),"0")</f>
        <v>0.14499999999999999</v>
      </c>
      <c r="V57" s="55">
        <f t="shared" si="4"/>
        <v>9.8028757355427456E-3</v>
      </c>
      <c r="W57" s="35">
        <f t="shared" si="104"/>
        <v>0.52964460407162151</v>
      </c>
      <c r="X57" s="35">
        <f t="shared" si="92"/>
        <v>0.59364608982724476</v>
      </c>
      <c r="Y57" s="55">
        <f>IF(T57&gt;0,(VLOOKUP($W57,Relaciones!$A$4:$D$108,2)),"")</f>
        <v>0.86</v>
      </c>
      <c r="Z57" s="35">
        <f t="shared" si="93"/>
        <v>0.51053563725143047</v>
      </c>
      <c r="AA57" s="35">
        <f t="shared" si="94"/>
        <v>0.10648437499999974</v>
      </c>
      <c r="AB57" s="46" t="str">
        <f t="shared" si="95"/>
        <v>OK</v>
      </c>
      <c r="AC57" s="46" t="str">
        <f t="shared" si="96"/>
        <v>OK</v>
      </c>
      <c r="AD57" s="46" t="str">
        <f t="shared" si="97"/>
        <v>No Cumple</v>
      </c>
      <c r="AE57" s="48">
        <f t="shared" si="98"/>
        <v>1</v>
      </c>
      <c r="AF57" s="48">
        <f t="shared" si="98"/>
        <v>1</v>
      </c>
      <c r="AG57" s="48">
        <f t="shared" si="98"/>
        <v>0</v>
      </c>
      <c r="AH57" s="48">
        <f t="shared" si="99"/>
        <v>2</v>
      </c>
      <c r="AI57" s="46">
        <f t="shared" si="100"/>
        <v>0</v>
      </c>
      <c r="AJ57" s="22">
        <f>IF(AI57&gt;0,I57*VLOOKUP(T57,'$ alcantarillado'!$I$6:$K$22,3),0)</f>
        <v>0</v>
      </c>
      <c r="AK57" s="20">
        <f t="shared" si="75"/>
        <v>0</v>
      </c>
      <c r="AL57" s="20">
        <f t="shared" si="76"/>
        <v>0</v>
      </c>
      <c r="AM57" s="22">
        <f t="shared" si="22"/>
        <v>0</v>
      </c>
      <c r="AN57" s="51">
        <f>+AP43</f>
        <v>5073111.7783333398</v>
      </c>
      <c r="AO57" s="79" t="str">
        <f t="shared" si="87"/>
        <v/>
      </c>
      <c r="AP57" s="224"/>
      <c r="AQ57" s="10"/>
      <c r="AR57" s="11"/>
    </row>
    <row r="58" spans="1:44" x14ac:dyDescent="0.25">
      <c r="A58" s="211"/>
      <c r="B58" s="211"/>
      <c r="C58" s="211"/>
      <c r="D58" s="211"/>
      <c r="E58" s="4">
        <v>1</v>
      </c>
      <c r="F58" s="7">
        <f>+H23</f>
        <v>47.75</v>
      </c>
      <c r="G58" s="4">
        <v>3</v>
      </c>
      <c r="H58" s="7">
        <f>+'LOGIKA AN-1'!H53</f>
        <v>46.89</v>
      </c>
      <c r="I58" s="7">
        <f t="shared" ref="I58" si="105">+I57</f>
        <v>80</v>
      </c>
      <c r="J58" s="18">
        <f>+(F58-H58)/I58</f>
        <v>1.0749999999999992E-2</v>
      </c>
      <c r="K58" s="7">
        <f t="shared" ref="K58" si="106">+K57</f>
        <v>158</v>
      </c>
      <c r="L58" s="14">
        <f>IF(K58&lt;38,K58^0.3686*0.7401,IF(K58&lt;235,K58^0.4193*0.6215,IF(K58&lt;932,K58*0.0092+4.2493,K58*0.0069+6.7345)))</f>
        <v>5.1920402377148429</v>
      </c>
      <c r="M58" s="31">
        <f>+L58/1000</f>
        <v>5.1920402377148428E-3</v>
      </c>
      <c r="N58" s="31">
        <f t="shared" si="0"/>
        <v>8.9581632759616031E-2</v>
      </c>
      <c r="O58" s="31">
        <f t="shared" si="1"/>
        <v>3.5268359354179539</v>
      </c>
      <c r="P58" s="57">
        <f t="shared" si="12"/>
        <v>6</v>
      </c>
      <c r="Q58" s="60">
        <f>IF(O58&gt;0,VLOOKUP(P58,'$ alcantarillado'!$I$5:$L$22,4,FALSE),"0")</f>
        <v>0.14499999999999999</v>
      </c>
      <c r="R58" s="60">
        <f t="shared" si="2"/>
        <v>1.8752915292270699E-2</v>
      </c>
      <c r="S58" s="27">
        <f t="shared" si="3"/>
        <v>0.27686576496481169</v>
      </c>
      <c r="T58" s="57">
        <f>+IF(S58&gt;$B$13,VLOOKUP(P58,'$ alcantarillado'!$I$6:$N$22,5),P58)</f>
        <v>6</v>
      </c>
      <c r="U58" s="60">
        <f>IF(O58&gt;0,VLOOKUP(T58,'$ alcantarillado'!$I$5:$L$22,4),"0")</f>
        <v>0.14499999999999999</v>
      </c>
      <c r="V58" s="60">
        <f t="shared" si="4"/>
        <v>1.8752915292270699E-2</v>
      </c>
      <c r="W58" s="27">
        <f t="shared" si="104"/>
        <v>0.27686576496481169</v>
      </c>
      <c r="X58" s="27">
        <f>IF(T58&gt;0,4*V58/(PI()*(U58)^2),"")</f>
        <v>1.1356458182729046</v>
      </c>
      <c r="Y58" s="60">
        <f>IF(T58&gt;0,(VLOOKUP($W58,Relaciones!$A$4:$D$108,2)),"")</f>
        <v>0.70599999999999996</v>
      </c>
      <c r="Z58" s="27">
        <f>IF(T58&gt;0,Y58*X58,"")</f>
        <v>0.80176594770067056</v>
      </c>
      <c r="AA58" s="27">
        <f>IF(T58&gt;0,250*U58*J58,"")</f>
        <v>0.38968749999999974</v>
      </c>
      <c r="AB58" s="45" t="str">
        <f>IF(T58&gt;0,IF(W58&lt;=$B$13,"OK","No Cumple"),"")</f>
        <v>OK</v>
      </c>
      <c r="AC58" s="45" t="str">
        <f>IF(T58&gt;0,IF(Z58&gt;=$B$12,"OK","No Cumple"),"")</f>
        <v>OK</v>
      </c>
      <c r="AD58" s="45" t="str">
        <f>IF(T58&gt;0,IF(AA58&gt;$B$14,"OK","No Cumple"),"")</f>
        <v>OK</v>
      </c>
      <c r="AE58" s="32">
        <f>+IF(AB58="OK",1,0)</f>
        <v>1</v>
      </c>
      <c r="AF58" s="32">
        <f>+IF(AC58="OK",1,0)</f>
        <v>1</v>
      </c>
      <c r="AG58" s="32">
        <f>+IF(AD58="OK",1,0)</f>
        <v>1</v>
      </c>
      <c r="AH58" s="32">
        <f>SUM(AE58:AG58)</f>
        <v>3</v>
      </c>
      <c r="AI58" s="45">
        <f>IF(AH58=3,2*$B$7+U58,0)</f>
        <v>0.64500000000000002</v>
      </c>
      <c r="AJ58" s="21">
        <f>IF(AI58&gt;0,I58*VLOOKUP(T58,'$ alcantarillado'!$I$6:$K$22,3),0)</f>
        <v>1912173.3333333335</v>
      </c>
      <c r="AK58" s="21">
        <f t="shared" si="75"/>
        <v>2570454.0000000042</v>
      </c>
      <c r="AL58" s="21">
        <f t="shared" si="76"/>
        <v>1113279.6950000019</v>
      </c>
      <c r="AM58" s="21">
        <f>IF(AJ58&gt;0,AJ58+AK58+AL58,0)</f>
        <v>5595907.0283333398</v>
      </c>
      <c r="AN58" s="49">
        <f>IF(AP23&gt;0,+AP23,0)</f>
        <v>4840911.7783333398</v>
      </c>
      <c r="AO58" s="77">
        <f>IF((AM58)&gt;0,IF(AN58&gt;0,AM58+AN58,""),"")</f>
        <v>10436818.80666668</v>
      </c>
      <c r="AP58" s="213">
        <f>+MIN(AO58:AO62)</f>
        <v>10436818.80666668</v>
      </c>
      <c r="AQ58" s="7"/>
      <c r="AR58" s="8"/>
    </row>
    <row r="59" spans="1:44" x14ac:dyDescent="0.25">
      <c r="A59" s="211"/>
      <c r="B59" s="211"/>
      <c r="C59" s="211"/>
      <c r="D59" s="211"/>
      <c r="E59" s="5">
        <v>2</v>
      </c>
      <c r="F59" s="2">
        <f>+H28</f>
        <v>47.625</v>
      </c>
      <c r="G59" s="5">
        <v>3</v>
      </c>
      <c r="H59" s="2">
        <f>+H58</f>
        <v>46.89</v>
      </c>
      <c r="I59" s="2">
        <f>+I58</f>
        <v>80</v>
      </c>
      <c r="J59" s="18">
        <f t="shared" si="9"/>
        <v>9.1874999999999925E-3</v>
      </c>
      <c r="K59" s="2">
        <f>+K58</f>
        <v>158</v>
      </c>
      <c r="L59" s="15">
        <f t="shared" si="10"/>
        <v>5.1920402377148429</v>
      </c>
      <c r="M59" s="33">
        <f t="shared" ref="M59:M62" si="107">+L59/1000</f>
        <v>5.1920402377148428E-3</v>
      </c>
      <c r="N59" s="33">
        <f t="shared" si="0"/>
        <v>9.2258960576735272E-2</v>
      </c>
      <c r="O59" s="33">
        <f t="shared" si="1"/>
        <v>3.6322425423911526</v>
      </c>
      <c r="P59" s="58">
        <f t="shared" si="12"/>
        <v>6</v>
      </c>
      <c r="Q59" s="55">
        <f>IF(O59&gt;0,VLOOKUP(P59,'$ alcantarillado'!$I$5:$L$22,4,FALSE),"0")</f>
        <v>0.14499999999999999</v>
      </c>
      <c r="R59" s="55">
        <f t="shared" si="2"/>
        <v>1.7336572328593754E-2</v>
      </c>
      <c r="S59" s="35">
        <f t="shared" si="3"/>
        <v>0.29948481968096125</v>
      </c>
      <c r="T59" s="58">
        <f>+IF(S59&gt;$B$13,VLOOKUP(P59,'$ alcantarillado'!$I$6:$N$22,5),P59)</f>
        <v>6</v>
      </c>
      <c r="U59" s="55">
        <f>IF(O59&gt;0,VLOOKUP(T59,'$ alcantarillado'!$I$5:$L$22,4),"0")</f>
        <v>0.14499999999999999</v>
      </c>
      <c r="V59" s="55">
        <f t="shared" si="4"/>
        <v>1.7336572328593754E-2</v>
      </c>
      <c r="W59" s="35">
        <f t="shared" si="104"/>
        <v>0.29948481968096125</v>
      </c>
      <c r="X59" s="35">
        <f t="shared" ref="X59:X62" si="108">IF(T59&gt;0,4*V59/(PI()*(U59)^2),"")</f>
        <v>1.0498744094614476</v>
      </c>
      <c r="Y59" s="55">
        <f>IF(T59&gt;0,(VLOOKUP($W59,Relaciones!$A$4:$D$108,2)),"")</f>
        <v>0.72</v>
      </c>
      <c r="Z59" s="35">
        <f t="shared" ref="Z59:Z62" si="109">IF(T59&gt;0,Y59*X59,"")</f>
        <v>0.7559095748122423</v>
      </c>
      <c r="AA59" s="35">
        <f t="shared" ref="AA59:AA62" si="110">IF(T59&gt;0,250*U59*J59,"")</f>
        <v>0.33304687499999974</v>
      </c>
      <c r="AB59" s="46" t="str">
        <f t="shared" ref="AB59:AB62" si="111">IF(T59&gt;0,IF(W59&lt;=$B$13,"OK","No Cumple"),"")</f>
        <v>OK</v>
      </c>
      <c r="AC59" s="46" t="str">
        <f t="shared" ref="AC59:AC62" si="112">IF(T59&gt;0,IF(Z59&gt;=$B$12,"OK","No Cumple"),"")</f>
        <v>OK</v>
      </c>
      <c r="AD59" s="46" t="str">
        <f t="shared" ref="AD59:AD62" si="113">IF(T59&gt;0,IF(AA59&gt;$B$14,"OK","No Cumple"),"")</f>
        <v>OK</v>
      </c>
      <c r="AE59" s="48">
        <f t="shared" ref="AE59:AG62" si="114">+IF(AB59="OK",1,0)</f>
        <v>1</v>
      </c>
      <c r="AF59" s="48">
        <f t="shared" si="114"/>
        <v>1</v>
      </c>
      <c r="AG59" s="48">
        <f t="shared" si="114"/>
        <v>1</v>
      </c>
      <c r="AH59" s="48">
        <f t="shared" ref="AH59:AH62" si="115">SUM(AE59:AG59)</f>
        <v>3</v>
      </c>
      <c r="AI59" s="46">
        <f t="shared" ref="AI59:AI62" si="116">IF(AH59=3,2*$B$7+U59,0)</f>
        <v>0.64500000000000002</v>
      </c>
      <c r="AJ59" s="20">
        <f>IF(AI59&gt;0,I59*VLOOKUP(T59,'$ alcantarillado'!$I$6:$K$22,3),0)</f>
        <v>1912173.3333333335</v>
      </c>
      <c r="AK59" s="20">
        <f t="shared" si="75"/>
        <v>2686554.0000000042</v>
      </c>
      <c r="AL59" s="20">
        <f t="shared" si="76"/>
        <v>1200527.3200000019</v>
      </c>
      <c r="AM59" s="20">
        <f t="shared" si="22"/>
        <v>5799254.6533333398</v>
      </c>
      <c r="AN59" s="50">
        <f>+AP28</f>
        <v>4898961.7783333398</v>
      </c>
      <c r="AO59" s="78">
        <f t="shared" si="87"/>
        <v>10698216.43166668</v>
      </c>
      <c r="AP59" s="214"/>
      <c r="AQ59" s="2"/>
      <c r="AR59" s="9"/>
    </row>
    <row r="60" spans="1:44" x14ac:dyDescent="0.25">
      <c r="A60" s="211"/>
      <c r="B60" s="211"/>
      <c r="C60" s="211"/>
      <c r="D60" s="211"/>
      <c r="E60" s="56">
        <v>3</v>
      </c>
      <c r="F60" s="2">
        <f>+H33</f>
        <v>47.5</v>
      </c>
      <c r="G60" s="56">
        <v>3</v>
      </c>
      <c r="H60" s="2">
        <f t="shared" ref="H60:H61" si="117">+H59</f>
        <v>46.89</v>
      </c>
      <c r="I60" s="2">
        <f t="shared" ref="I60:I61" si="118">+I59</f>
        <v>80</v>
      </c>
      <c r="J60" s="18">
        <f t="shared" si="9"/>
        <v>7.6249999999999929E-3</v>
      </c>
      <c r="K60" s="2">
        <f t="shared" ref="K60:K61" si="119">+K59</f>
        <v>158</v>
      </c>
      <c r="L60" s="15">
        <f t="shared" si="10"/>
        <v>5.1920402377148429</v>
      </c>
      <c r="M60" s="33">
        <f t="shared" si="107"/>
        <v>5.1920402377148428E-3</v>
      </c>
      <c r="N60" s="33">
        <f t="shared" si="0"/>
        <v>9.5540627508621162E-2</v>
      </c>
      <c r="O60" s="33">
        <f t="shared" si="1"/>
        <v>3.7614420278984713</v>
      </c>
      <c r="P60" s="58">
        <f t="shared" si="12"/>
        <v>6</v>
      </c>
      <c r="Q60" s="55">
        <f>IF(O60&gt;0,VLOOKUP(P60,'$ alcantarillado'!$I$5:$L$22,4,FALSE),"0")</f>
        <v>0.14499999999999999</v>
      </c>
      <c r="R60" s="55">
        <f t="shared" si="2"/>
        <v>1.5793721798551638E-2</v>
      </c>
      <c r="S60" s="35">
        <f t="shared" si="3"/>
        <v>0.32874076825837079</v>
      </c>
      <c r="T60" s="58">
        <f>+IF(S60&gt;$B$13,VLOOKUP(P60,'$ alcantarillado'!$I$6:$N$22,5),P60)</f>
        <v>6</v>
      </c>
      <c r="U60" s="55">
        <f>IF(O60&gt;0,VLOOKUP(T60,'$ alcantarillado'!$I$5:$L$22,4),"0")</f>
        <v>0.14499999999999999</v>
      </c>
      <c r="V60" s="55">
        <f t="shared" si="4"/>
        <v>1.5793721798551638E-2</v>
      </c>
      <c r="W60" s="35">
        <f t="shared" si="104"/>
        <v>0.32874076825837079</v>
      </c>
      <c r="X60" s="35">
        <f t="shared" si="108"/>
        <v>0.95644190974847587</v>
      </c>
      <c r="Y60" s="55">
        <f>IF(T60&gt;0,(VLOOKUP($W60,Relaciones!$A$4:$D$108,2)),"")</f>
        <v>0.74</v>
      </c>
      <c r="Z60" s="35">
        <f t="shared" si="109"/>
        <v>0.70776701321387214</v>
      </c>
      <c r="AA60" s="35">
        <f t="shared" si="110"/>
        <v>0.27640624999999974</v>
      </c>
      <c r="AB60" s="46" t="str">
        <f t="shared" si="111"/>
        <v>OK</v>
      </c>
      <c r="AC60" s="46" t="str">
        <f t="shared" si="112"/>
        <v>OK</v>
      </c>
      <c r="AD60" s="46" t="str">
        <f t="shared" si="113"/>
        <v>OK</v>
      </c>
      <c r="AE60" s="48">
        <f t="shared" si="114"/>
        <v>1</v>
      </c>
      <c r="AF60" s="48">
        <f t="shared" si="114"/>
        <v>1</v>
      </c>
      <c r="AG60" s="48">
        <f t="shared" si="114"/>
        <v>1</v>
      </c>
      <c r="AH60" s="48">
        <f t="shared" si="115"/>
        <v>3</v>
      </c>
      <c r="AI60" s="46">
        <f t="shared" si="116"/>
        <v>0.64500000000000002</v>
      </c>
      <c r="AJ60" s="20">
        <f>IF(AI60&gt;0,I60*VLOOKUP(T60,'$ alcantarillado'!$I$6:$K$22,3),0)</f>
        <v>1912173.3333333335</v>
      </c>
      <c r="AK60" s="20">
        <f t="shared" si="75"/>
        <v>2802654.0000000047</v>
      </c>
      <c r="AL60" s="20">
        <f t="shared" si="76"/>
        <v>1287774.9450000019</v>
      </c>
      <c r="AM60" s="20">
        <f t="shared" si="22"/>
        <v>6002602.2783333398</v>
      </c>
      <c r="AN60" s="50">
        <f>+AP33</f>
        <v>4957011.7783333398</v>
      </c>
      <c r="AO60" s="78">
        <f t="shared" si="87"/>
        <v>10959614.05666668</v>
      </c>
      <c r="AP60" s="215"/>
      <c r="AQ60" s="2"/>
      <c r="AR60" s="9"/>
    </row>
    <row r="61" spans="1:44" x14ac:dyDescent="0.25">
      <c r="A61" s="211"/>
      <c r="B61" s="211"/>
      <c r="C61" s="211"/>
      <c r="D61" s="211"/>
      <c r="E61" s="56">
        <v>4</v>
      </c>
      <c r="F61" s="2">
        <f>+H38</f>
        <v>47.375</v>
      </c>
      <c r="G61" s="56">
        <v>3</v>
      </c>
      <c r="H61" s="2">
        <f t="shared" si="117"/>
        <v>46.89</v>
      </c>
      <c r="I61" s="2">
        <f t="shared" si="118"/>
        <v>80</v>
      </c>
      <c r="J61" s="18">
        <f>+(F61-H61)/I61</f>
        <v>6.0624999999999932E-3</v>
      </c>
      <c r="K61" s="2">
        <f t="shared" si="119"/>
        <v>158</v>
      </c>
      <c r="L61" s="15">
        <f t="shared" si="10"/>
        <v>5.1920402377148429</v>
      </c>
      <c r="M61" s="33">
        <f t="shared" si="107"/>
        <v>5.1920402377148428E-3</v>
      </c>
      <c r="N61" s="33">
        <f t="shared" si="0"/>
        <v>9.9738046437711433E-2</v>
      </c>
      <c r="O61" s="33">
        <f t="shared" si="1"/>
        <v>3.9266947416421827</v>
      </c>
      <c r="P61" s="58">
        <f t="shared" si="12"/>
        <v>6</v>
      </c>
      <c r="Q61" s="55">
        <f>IF(O61&gt;0,VLOOKUP(P61,'$ alcantarillado'!$I$5:$L$22,4,FALSE),"0")</f>
        <v>0.14499999999999999</v>
      </c>
      <c r="R61" s="55">
        <f t="shared" si="2"/>
        <v>1.4082846175241982E-2</v>
      </c>
      <c r="S61" s="35">
        <f t="shared" si="3"/>
        <v>0.36867833200099759</v>
      </c>
      <c r="T61" s="58">
        <f>+IF(S61&gt;$B$13,VLOOKUP(P61,'$ alcantarillado'!$I$6:$N$22,5),P61)</f>
        <v>6</v>
      </c>
      <c r="U61" s="55">
        <f>IF(O61&gt;0,VLOOKUP(T61,'$ alcantarillado'!$I$5:$L$22,4),"0")</f>
        <v>0.14499999999999999</v>
      </c>
      <c r="V61" s="55">
        <f t="shared" si="4"/>
        <v>1.4082846175241982E-2</v>
      </c>
      <c r="W61" s="35">
        <f t="shared" si="104"/>
        <v>0.36867833200099759</v>
      </c>
      <c r="X61" s="35">
        <f t="shared" si="108"/>
        <v>0.8528340857427078</v>
      </c>
      <c r="Y61" s="55">
        <f>IF(T61&gt;0,(VLOOKUP($W61,Relaciones!$A$4:$D$108,2)),"")</f>
        <v>0.76800000000000002</v>
      </c>
      <c r="Z61" s="35">
        <f t="shared" si="109"/>
        <v>0.65497657785039964</v>
      </c>
      <c r="AA61" s="35">
        <f t="shared" si="110"/>
        <v>0.21976562499999974</v>
      </c>
      <c r="AB61" s="46" t="str">
        <f t="shared" si="111"/>
        <v>OK</v>
      </c>
      <c r="AC61" s="46" t="str">
        <f t="shared" si="112"/>
        <v>OK</v>
      </c>
      <c r="AD61" s="46" t="str">
        <f t="shared" si="113"/>
        <v>OK</v>
      </c>
      <c r="AE61" s="48">
        <f t="shared" si="114"/>
        <v>1</v>
      </c>
      <c r="AF61" s="48">
        <f t="shared" si="114"/>
        <v>1</v>
      </c>
      <c r="AG61" s="48">
        <f t="shared" si="114"/>
        <v>1</v>
      </c>
      <c r="AH61" s="48">
        <f t="shared" si="115"/>
        <v>3</v>
      </c>
      <c r="AI61" s="46">
        <f t="shared" si="116"/>
        <v>0.64500000000000002</v>
      </c>
      <c r="AJ61" s="20">
        <f>IF(AI61&gt;0,I61*VLOOKUP(T61,'$ alcantarillado'!$I$6:$K$22,3),0)</f>
        <v>1912173.3333333335</v>
      </c>
      <c r="AK61" s="20">
        <f t="shared" si="75"/>
        <v>2918754.0000000047</v>
      </c>
      <c r="AL61" s="20">
        <f t="shared" si="76"/>
        <v>1375022.5700000019</v>
      </c>
      <c r="AM61" s="20">
        <f t="shared" si="22"/>
        <v>6205949.9033333398</v>
      </c>
      <c r="AN61" s="50">
        <f>+AP38</f>
        <v>5015061.7783333398</v>
      </c>
      <c r="AO61" s="78">
        <f t="shared" si="87"/>
        <v>11221011.68166668</v>
      </c>
      <c r="AP61" s="215"/>
      <c r="AQ61" s="2">
        <v>1</v>
      </c>
      <c r="AR61" s="9">
        <v>3</v>
      </c>
    </row>
    <row r="62" spans="1:44" ht="15.75" thickBot="1" x14ac:dyDescent="0.3">
      <c r="A62" s="211"/>
      <c r="B62" s="211"/>
      <c r="C62" s="211"/>
      <c r="D62" s="211"/>
      <c r="E62" s="6">
        <v>5</v>
      </c>
      <c r="F62" s="16">
        <f>+H43</f>
        <v>47.25</v>
      </c>
      <c r="G62" s="6">
        <v>3</v>
      </c>
      <c r="H62" s="10">
        <f>+H61</f>
        <v>46.89</v>
      </c>
      <c r="I62" s="10">
        <f>+I61</f>
        <v>80</v>
      </c>
      <c r="J62" s="19">
        <f t="shared" si="9"/>
        <v>4.4999999999999927E-3</v>
      </c>
      <c r="K62" s="10">
        <f>+K61</f>
        <v>158</v>
      </c>
      <c r="L62" s="16">
        <f t="shared" si="10"/>
        <v>5.1920402377148429</v>
      </c>
      <c r="M62" s="34">
        <f t="shared" si="107"/>
        <v>5.1920402377148428E-3</v>
      </c>
      <c r="N62" s="34">
        <f t="shared" si="0"/>
        <v>0.1054704295004068</v>
      </c>
      <c r="O62" s="34">
        <f t="shared" si="1"/>
        <v>4.1523791141892445</v>
      </c>
      <c r="P62" s="59">
        <f t="shared" si="12"/>
        <v>6</v>
      </c>
      <c r="Q62" s="55">
        <f>IF(O62&gt;0,VLOOKUP(P62,'$ alcantarillado'!$I$5:$L$22,4,FALSE),"0")</f>
        <v>0.14499999999999999</v>
      </c>
      <c r="R62" s="47">
        <f t="shared" si="2"/>
        <v>1.2133073169688305E-2</v>
      </c>
      <c r="S62" s="35">
        <f t="shared" si="3"/>
        <v>0.42792457979120757</v>
      </c>
      <c r="T62" s="58">
        <f>+IF(S62&gt;$B$13,VLOOKUP(P62,'$ alcantarillado'!$I$6:$N$22,5),P62)</f>
        <v>6</v>
      </c>
      <c r="U62" s="55">
        <f>IF(O62&gt;0,VLOOKUP(T62,'$ alcantarillado'!$I$5:$L$22,4),"0")</f>
        <v>0.14499999999999999</v>
      </c>
      <c r="V62" s="55">
        <f t="shared" si="4"/>
        <v>1.2133073169688305E-2</v>
      </c>
      <c r="W62" s="35">
        <f t="shared" si="104"/>
        <v>0.42792457979120757</v>
      </c>
      <c r="X62" s="35">
        <f t="shared" si="108"/>
        <v>0.73475902776753177</v>
      </c>
      <c r="Y62" s="55">
        <f>IF(T62&gt;0,(VLOOKUP($W62,Relaciones!$A$4:$D$108,2)),"")</f>
        <v>0.80600000000000005</v>
      </c>
      <c r="Z62" s="35">
        <f t="shared" si="109"/>
        <v>0.59221577638063061</v>
      </c>
      <c r="AA62" s="35">
        <f t="shared" si="110"/>
        <v>0.16312499999999974</v>
      </c>
      <c r="AB62" s="46" t="str">
        <f t="shared" si="111"/>
        <v>OK</v>
      </c>
      <c r="AC62" s="46" t="str">
        <f t="shared" si="112"/>
        <v>OK</v>
      </c>
      <c r="AD62" s="46" t="str">
        <f t="shared" si="113"/>
        <v>OK</v>
      </c>
      <c r="AE62" s="48">
        <f t="shared" si="114"/>
        <v>1</v>
      </c>
      <c r="AF62" s="48">
        <f t="shared" si="114"/>
        <v>1</v>
      </c>
      <c r="AG62" s="48">
        <f t="shared" si="114"/>
        <v>1</v>
      </c>
      <c r="AH62" s="48">
        <f t="shared" si="115"/>
        <v>3</v>
      </c>
      <c r="AI62" s="46">
        <f t="shared" si="116"/>
        <v>0.64500000000000002</v>
      </c>
      <c r="AJ62" s="22">
        <f>IF(AI62&gt;0,I62*VLOOKUP(T62,'$ alcantarillado'!$I$6:$K$22,3),0)</f>
        <v>1912173.3333333335</v>
      </c>
      <c r="AK62" s="20">
        <f t="shared" si="75"/>
        <v>3034854.0000000042</v>
      </c>
      <c r="AL62" s="20">
        <f t="shared" si="76"/>
        <v>1462270.1950000019</v>
      </c>
      <c r="AM62" s="22">
        <f t="shared" si="22"/>
        <v>6409297.5283333398</v>
      </c>
      <c r="AN62" s="51">
        <f>+AP43</f>
        <v>5073111.7783333398</v>
      </c>
      <c r="AO62" s="79">
        <f t="shared" si="87"/>
        <v>11482409.30666668</v>
      </c>
      <c r="AP62" s="216"/>
      <c r="AQ62" s="10"/>
      <c r="AR62" s="11"/>
    </row>
    <row r="63" spans="1:44" x14ac:dyDescent="0.25">
      <c r="A63" s="211"/>
      <c r="B63" s="211"/>
      <c r="C63" s="211"/>
      <c r="D63" s="211"/>
      <c r="E63" s="4">
        <v>1</v>
      </c>
      <c r="F63" s="7">
        <f>+H23</f>
        <v>47.75</v>
      </c>
      <c r="G63" s="4">
        <v>4</v>
      </c>
      <c r="H63" s="14">
        <f>+H58-$B$15</f>
        <v>46.765000000000001</v>
      </c>
      <c r="I63" s="12">
        <f>+I58</f>
        <v>80</v>
      </c>
      <c r="J63" s="18">
        <f>+(F63-H63)/I63</f>
        <v>1.2312499999999994E-2</v>
      </c>
      <c r="K63" s="12">
        <f>+K58</f>
        <v>158</v>
      </c>
      <c r="L63" s="14">
        <f>IF(K63&lt;38,K63^0.3686*0.7401,IF(K63&lt;235,K63^0.4193*0.6215,IF(K63&lt;932,K63*0.0092+4.2493,K63*0.0069+6.7345)))</f>
        <v>5.1920402377148429</v>
      </c>
      <c r="M63" s="31">
        <f>+L63/1000</f>
        <v>5.1920402377148428E-3</v>
      </c>
      <c r="N63" s="31">
        <f t="shared" si="0"/>
        <v>8.7330941097919015E-2</v>
      </c>
      <c r="O63" s="31">
        <f t="shared" si="1"/>
        <v>3.4382260274771266</v>
      </c>
      <c r="P63" s="57">
        <f t="shared" si="12"/>
        <v>6</v>
      </c>
      <c r="Q63" s="60">
        <f>IF(O63&gt;0,VLOOKUP(P63,'$ alcantarillado'!$I$5:$L$22,4,FALSE),"0")</f>
        <v>0.14499999999999999</v>
      </c>
      <c r="R63" s="60">
        <f t="shared" si="2"/>
        <v>2.006955215777367E-2</v>
      </c>
      <c r="S63" s="27">
        <f t="shared" si="3"/>
        <v>0.25870234656450847</v>
      </c>
      <c r="T63" s="57">
        <f>+IF(S63&gt;$B$13,VLOOKUP(P63,'$ alcantarillado'!$I$6:$N$22,5),P63)</f>
        <v>6</v>
      </c>
      <c r="U63" s="60">
        <f>IF(O63&gt;0,VLOOKUP(T63,'$ alcantarillado'!$I$5:$L$22,4),"0")</f>
        <v>0.14499999999999999</v>
      </c>
      <c r="V63" s="60">
        <f t="shared" si="4"/>
        <v>2.006955215777367E-2</v>
      </c>
      <c r="W63" s="27">
        <f t="shared" si="104"/>
        <v>0.25870234656450847</v>
      </c>
      <c r="X63" s="27">
        <f>IF(T63&gt;0,4*V63/(PI()*(U63)^2),"")</f>
        <v>1.2153791891749037</v>
      </c>
      <c r="Y63" s="60">
        <f>IF(T63&gt;0,(VLOOKUP($W63,Relaciones!$A$4:$D$108,2)),"")</f>
        <v>0.69499999999999995</v>
      </c>
      <c r="Z63" s="27">
        <f>IF(T63&gt;0,Y63*X63,"")</f>
        <v>0.84468853647655806</v>
      </c>
      <c r="AA63" s="27">
        <f>IF(T63&gt;0,250*U63*J63,"")</f>
        <v>0.44632812499999974</v>
      </c>
      <c r="AB63" s="45" t="str">
        <f>IF(T63&gt;0,IF(W63&lt;=$B$13,"OK","No Cumple"),"")</f>
        <v>OK</v>
      </c>
      <c r="AC63" s="45" t="str">
        <f>IF(T63&gt;0,IF(Z63&gt;=$B$12,"OK","No Cumple"),"")</f>
        <v>OK</v>
      </c>
      <c r="AD63" s="45" t="str">
        <f>IF(T63&gt;0,IF(AA63&gt;$B$14,"OK","No Cumple"),"")</f>
        <v>OK</v>
      </c>
      <c r="AE63" s="32">
        <f>+IF(AB63="OK",1,0)</f>
        <v>1</v>
      </c>
      <c r="AF63" s="32">
        <f>+IF(AC63="OK",1,0)</f>
        <v>1</v>
      </c>
      <c r="AG63" s="32">
        <f>+IF(AD63="OK",1,0)</f>
        <v>1</v>
      </c>
      <c r="AH63" s="32">
        <f>SUM(AE63:AG63)</f>
        <v>3</v>
      </c>
      <c r="AI63" s="45">
        <f>IF(AH63=3,2*$B$7+U63,0)</f>
        <v>0.64500000000000002</v>
      </c>
      <c r="AJ63" s="21">
        <f>IF(AI63&gt;0,I63*VLOOKUP(T63,'$ alcantarillado'!$I$6:$K$22,3),0)</f>
        <v>1912173.3333333335</v>
      </c>
      <c r="AK63" s="21">
        <f t="shared" si="75"/>
        <v>2628504.0000000047</v>
      </c>
      <c r="AL63" s="21">
        <f t="shared" si="76"/>
        <v>1113279.6950000019</v>
      </c>
      <c r="AM63" s="21">
        <f>IF(AJ63&gt;0,AJ63+AK63+AL63,0)</f>
        <v>5653957.0283333398</v>
      </c>
      <c r="AN63" s="49">
        <f>IF(AP23&gt;0,+AP23,0)</f>
        <v>4840911.7783333398</v>
      </c>
      <c r="AO63" s="77">
        <f>IF((AM63)&gt;0,IF(AN63&gt;0,AM63+AN63,""),"")</f>
        <v>10494868.80666668</v>
      </c>
      <c r="AP63" s="213">
        <f>+MIN(AO63:AO67)</f>
        <v>10494868.80666668</v>
      </c>
      <c r="AQ63" s="7"/>
      <c r="AR63" s="8"/>
    </row>
    <row r="64" spans="1:44" x14ac:dyDescent="0.25">
      <c r="A64" s="211"/>
      <c r="B64" s="211"/>
      <c r="C64" s="211"/>
      <c r="D64" s="211"/>
      <c r="E64" s="5">
        <v>2</v>
      </c>
      <c r="F64" s="2">
        <f>+H28</f>
        <v>47.625</v>
      </c>
      <c r="G64" s="5">
        <v>4</v>
      </c>
      <c r="H64" s="15">
        <f>+H63</f>
        <v>46.765000000000001</v>
      </c>
      <c r="I64" s="2">
        <f>+I63</f>
        <v>80</v>
      </c>
      <c r="J64" s="18">
        <f t="shared" si="9"/>
        <v>1.0749999999999992E-2</v>
      </c>
      <c r="K64" s="2">
        <f>+K63</f>
        <v>158</v>
      </c>
      <c r="L64" s="15">
        <f t="shared" si="10"/>
        <v>5.1920402377148429</v>
      </c>
      <c r="M64" s="33">
        <f t="shared" ref="M64:M67" si="120">+L64/1000</f>
        <v>5.1920402377148428E-3</v>
      </c>
      <c r="N64" s="33">
        <f t="shared" si="0"/>
        <v>8.9581632759616031E-2</v>
      </c>
      <c r="O64" s="33">
        <f t="shared" si="1"/>
        <v>3.5268359354179539</v>
      </c>
      <c r="P64" s="58">
        <f t="shared" si="12"/>
        <v>6</v>
      </c>
      <c r="Q64" s="55">
        <f>IF(O64&gt;0,VLOOKUP(P64,'$ alcantarillado'!$I$5:$L$22,4,FALSE),"0")</f>
        <v>0.14499999999999999</v>
      </c>
      <c r="R64" s="55">
        <f t="shared" si="2"/>
        <v>1.8752915292270699E-2</v>
      </c>
      <c r="S64" s="35">
        <f t="shared" si="3"/>
        <v>0.27686576496481169</v>
      </c>
      <c r="T64" s="58">
        <f>+IF(S64&gt;$B$13,VLOOKUP(P64,'$ alcantarillado'!$I$6:$N$22,5),P64)</f>
        <v>6</v>
      </c>
      <c r="U64" s="55">
        <f>IF(O64&gt;0,VLOOKUP(T64,'$ alcantarillado'!$I$5:$L$22,4),"0")</f>
        <v>0.14499999999999999</v>
      </c>
      <c r="V64" s="55">
        <f t="shared" si="4"/>
        <v>1.8752915292270699E-2</v>
      </c>
      <c r="W64" s="35">
        <f t="shared" si="104"/>
        <v>0.27686576496481169</v>
      </c>
      <c r="X64" s="35">
        <f t="shared" ref="X64:X67" si="121">IF(T64&gt;0,4*V64/(PI()*(U64)^2),"")</f>
        <v>1.1356458182729046</v>
      </c>
      <c r="Y64" s="55">
        <f>IF(T64&gt;0,(VLOOKUP($W64,Relaciones!$A$4:$D$108,2)),"")</f>
        <v>0.70599999999999996</v>
      </c>
      <c r="Z64" s="35">
        <f t="shared" ref="Z64:Z67" si="122">IF(T64&gt;0,Y64*X64,"")</f>
        <v>0.80176594770067056</v>
      </c>
      <c r="AA64" s="35">
        <f t="shared" ref="AA64:AA67" si="123">IF(T64&gt;0,250*U64*J64,"")</f>
        <v>0.38968749999999974</v>
      </c>
      <c r="AB64" s="46" t="str">
        <f t="shared" ref="AB64:AB67" si="124">IF(T64&gt;0,IF(W64&lt;=$B$13,"OK","No Cumple"),"")</f>
        <v>OK</v>
      </c>
      <c r="AC64" s="46" t="str">
        <f t="shared" ref="AC64:AC67" si="125">IF(T64&gt;0,IF(Z64&gt;=$B$12,"OK","No Cumple"),"")</f>
        <v>OK</v>
      </c>
      <c r="AD64" s="46" t="str">
        <f t="shared" ref="AD64:AD67" si="126">IF(T64&gt;0,IF(AA64&gt;$B$14,"OK","No Cumple"),"")</f>
        <v>OK</v>
      </c>
      <c r="AE64" s="48">
        <f t="shared" ref="AE64:AG67" si="127">+IF(AB64="OK",1,0)</f>
        <v>1</v>
      </c>
      <c r="AF64" s="48">
        <f t="shared" si="127"/>
        <v>1</v>
      </c>
      <c r="AG64" s="48">
        <f t="shared" si="127"/>
        <v>1</v>
      </c>
      <c r="AH64" s="48">
        <f t="shared" ref="AH64:AH67" si="128">SUM(AE64:AG64)</f>
        <v>3</v>
      </c>
      <c r="AI64" s="46">
        <f t="shared" ref="AI64:AI67" si="129">IF(AH64=3,2*$B$7+U64,0)</f>
        <v>0.64500000000000002</v>
      </c>
      <c r="AJ64" s="20">
        <f>IF(AI64&gt;0,I64*VLOOKUP(T64,'$ alcantarillado'!$I$6:$K$22,3),0)</f>
        <v>1912173.3333333335</v>
      </c>
      <c r="AK64" s="20">
        <f t="shared" si="75"/>
        <v>2744604.0000000042</v>
      </c>
      <c r="AL64" s="20">
        <f t="shared" si="76"/>
        <v>1200527.3200000019</v>
      </c>
      <c r="AM64" s="20">
        <f t="shared" si="22"/>
        <v>5857304.6533333398</v>
      </c>
      <c r="AN64" s="50">
        <f>+AP28</f>
        <v>4898961.7783333398</v>
      </c>
      <c r="AO64" s="78">
        <f t="shared" si="87"/>
        <v>10756266.43166668</v>
      </c>
      <c r="AP64" s="214"/>
      <c r="AQ64" s="2"/>
      <c r="AR64" s="9"/>
    </row>
    <row r="65" spans="1:44" x14ac:dyDescent="0.25">
      <c r="A65" s="211"/>
      <c r="B65" s="211"/>
      <c r="C65" s="211"/>
      <c r="D65" s="211"/>
      <c r="E65" s="56">
        <v>3</v>
      </c>
      <c r="F65" s="2">
        <f>+H33</f>
        <v>47.5</v>
      </c>
      <c r="G65" s="5">
        <v>4</v>
      </c>
      <c r="H65" s="15">
        <f t="shared" ref="H65:H66" si="130">+H64</f>
        <v>46.765000000000001</v>
      </c>
      <c r="I65" s="2">
        <f t="shared" ref="I65:I66" si="131">+I64</f>
        <v>80</v>
      </c>
      <c r="J65" s="18">
        <f t="shared" si="9"/>
        <v>9.1874999999999925E-3</v>
      </c>
      <c r="K65" s="2">
        <f t="shared" ref="K65:K66" si="132">+K64</f>
        <v>158</v>
      </c>
      <c r="L65" s="15">
        <f t="shared" si="10"/>
        <v>5.1920402377148429</v>
      </c>
      <c r="M65" s="33">
        <f t="shared" si="120"/>
        <v>5.1920402377148428E-3</v>
      </c>
      <c r="N65" s="33">
        <f t="shared" si="0"/>
        <v>9.2258960576735272E-2</v>
      </c>
      <c r="O65" s="33">
        <f t="shared" si="1"/>
        <v>3.6322425423911526</v>
      </c>
      <c r="P65" s="58">
        <f t="shared" si="12"/>
        <v>6</v>
      </c>
      <c r="Q65" s="55">
        <f>IF(O65&gt;0,VLOOKUP(P65,'$ alcantarillado'!$I$5:$L$22,4,FALSE),"0")</f>
        <v>0.14499999999999999</v>
      </c>
      <c r="R65" s="55">
        <f t="shared" si="2"/>
        <v>1.7336572328593754E-2</v>
      </c>
      <c r="S65" s="35">
        <f t="shared" si="3"/>
        <v>0.29948481968096125</v>
      </c>
      <c r="T65" s="58">
        <f>+IF(S65&gt;$B$13,VLOOKUP(P65,'$ alcantarillado'!$I$6:$N$22,5),P65)</f>
        <v>6</v>
      </c>
      <c r="U65" s="55">
        <f>IF(O65&gt;0,VLOOKUP(T65,'$ alcantarillado'!$I$5:$L$22,4),"0")</f>
        <v>0.14499999999999999</v>
      </c>
      <c r="V65" s="55">
        <f t="shared" si="4"/>
        <v>1.7336572328593754E-2</v>
      </c>
      <c r="W65" s="35">
        <f t="shared" si="104"/>
        <v>0.29948481968096125</v>
      </c>
      <c r="X65" s="35">
        <f t="shared" si="121"/>
        <v>1.0498744094614476</v>
      </c>
      <c r="Y65" s="55">
        <f>IF(T65&gt;0,(VLOOKUP($W65,Relaciones!$A$4:$D$108,2)),"")</f>
        <v>0.72</v>
      </c>
      <c r="Z65" s="35">
        <f t="shared" si="122"/>
        <v>0.7559095748122423</v>
      </c>
      <c r="AA65" s="35">
        <f t="shared" si="123"/>
        <v>0.33304687499999974</v>
      </c>
      <c r="AB65" s="46" t="str">
        <f t="shared" si="124"/>
        <v>OK</v>
      </c>
      <c r="AC65" s="46" t="str">
        <f t="shared" si="125"/>
        <v>OK</v>
      </c>
      <c r="AD65" s="46" t="str">
        <f t="shared" si="126"/>
        <v>OK</v>
      </c>
      <c r="AE65" s="48">
        <f t="shared" si="127"/>
        <v>1</v>
      </c>
      <c r="AF65" s="48">
        <f t="shared" si="127"/>
        <v>1</v>
      </c>
      <c r="AG65" s="48">
        <f t="shared" si="127"/>
        <v>1</v>
      </c>
      <c r="AH65" s="48">
        <f t="shared" si="128"/>
        <v>3</v>
      </c>
      <c r="AI65" s="46">
        <f t="shared" si="129"/>
        <v>0.64500000000000002</v>
      </c>
      <c r="AJ65" s="20">
        <f>IF(AI65&gt;0,I65*VLOOKUP(T65,'$ alcantarillado'!$I$6:$K$22,3),0)</f>
        <v>1912173.3333333335</v>
      </c>
      <c r="AK65" s="20">
        <f t="shared" si="75"/>
        <v>2860704.0000000047</v>
      </c>
      <c r="AL65" s="20">
        <f t="shared" si="76"/>
        <v>1287774.9450000019</v>
      </c>
      <c r="AM65" s="20">
        <f t="shared" si="22"/>
        <v>6060652.2783333398</v>
      </c>
      <c r="AN65" s="50">
        <f>+AP33</f>
        <v>4957011.7783333398</v>
      </c>
      <c r="AO65" s="78">
        <f t="shared" si="87"/>
        <v>11017664.05666668</v>
      </c>
      <c r="AP65" s="215"/>
      <c r="AQ65" s="2">
        <v>1</v>
      </c>
      <c r="AR65" s="9">
        <v>4</v>
      </c>
    </row>
    <row r="66" spans="1:44" x14ac:dyDescent="0.25">
      <c r="A66" s="211"/>
      <c r="B66" s="211"/>
      <c r="C66" s="211"/>
      <c r="D66" s="211"/>
      <c r="E66" s="56">
        <v>4</v>
      </c>
      <c r="F66" s="2">
        <f>+H38</f>
        <v>47.375</v>
      </c>
      <c r="G66" s="56">
        <v>4</v>
      </c>
      <c r="H66" s="15">
        <f t="shared" si="130"/>
        <v>46.765000000000001</v>
      </c>
      <c r="I66" s="2">
        <f t="shared" si="131"/>
        <v>80</v>
      </c>
      <c r="J66" s="18">
        <f>+(F66-H66)/I66</f>
        <v>7.6249999999999929E-3</v>
      </c>
      <c r="K66" s="2">
        <f t="shared" si="132"/>
        <v>158</v>
      </c>
      <c r="L66" s="15">
        <f t="shared" si="10"/>
        <v>5.1920402377148429</v>
      </c>
      <c r="M66" s="33">
        <f t="shared" si="120"/>
        <v>5.1920402377148428E-3</v>
      </c>
      <c r="N66" s="33">
        <f t="shared" si="0"/>
        <v>9.5540627508621162E-2</v>
      </c>
      <c r="O66" s="33">
        <f t="shared" si="1"/>
        <v>3.7614420278984713</v>
      </c>
      <c r="P66" s="58">
        <f t="shared" si="12"/>
        <v>6</v>
      </c>
      <c r="Q66" s="55">
        <f>IF(O66&gt;0,VLOOKUP(P66,'$ alcantarillado'!$I$5:$L$22,4,FALSE),"0")</f>
        <v>0.14499999999999999</v>
      </c>
      <c r="R66" s="55">
        <f t="shared" si="2"/>
        <v>1.5793721798551638E-2</v>
      </c>
      <c r="S66" s="35">
        <f t="shared" si="3"/>
        <v>0.32874076825837079</v>
      </c>
      <c r="T66" s="58">
        <f>+IF(S66&gt;$B$13,VLOOKUP(P66,'$ alcantarillado'!$I$6:$N$22,5),P66)</f>
        <v>6</v>
      </c>
      <c r="U66" s="55">
        <f>IF(O66&gt;0,VLOOKUP(T66,'$ alcantarillado'!$I$5:$L$22,4),"0")</f>
        <v>0.14499999999999999</v>
      </c>
      <c r="V66" s="55">
        <f t="shared" si="4"/>
        <v>1.5793721798551638E-2</v>
      </c>
      <c r="W66" s="35">
        <f t="shared" si="104"/>
        <v>0.32874076825837079</v>
      </c>
      <c r="X66" s="35">
        <f t="shared" si="121"/>
        <v>0.95644190974847587</v>
      </c>
      <c r="Y66" s="55">
        <f>IF(T66&gt;0,(VLOOKUP($W66,Relaciones!$A$4:$D$108,2)),"")</f>
        <v>0.74</v>
      </c>
      <c r="Z66" s="35">
        <f t="shared" si="122"/>
        <v>0.70776701321387214</v>
      </c>
      <c r="AA66" s="35">
        <f t="shared" si="123"/>
        <v>0.27640624999999974</v>
      </c>
      <c r="AB66" s="46" t="str">
        <f t="shared" si="124"/>
        <v>OK</v>
      </c>
      <c r="AC66" s="46" t="str">
        <f t="shared" si="125"/>
        <v>OK</v>
      </c>
      <c r="AD66" s="46" t="str">
        <f t="shared" si="126"/>
        <v>OK</v>
      </c>
      <c r="AE66" s="48">
        <f t="shared" si="127"/>
        <v>1</v>
      </c>
      <c r="AF66" s="48">
        <f t="shared" si="127"/>
        <v>1</v>
      </c>
      <c r="AG66" s="48">
        <f t="shared" si="127"/>
        <v>1</v>
      </c>
      <c r="AH66" s="48">
        <f t="shared" si="128"/>
        <v>3</v>
      </c>
      <c r="AI66" s="46">
        <f t="shared" si="129"/>
        <v>0.64500000000000002</v>
      </c>
      <c r="AJ66" s="20">
        <f>IF(AI66&gt;0,I66*VLOOKUP(T66,'$ alcantarillado'!$I$6:$K$22,3),0)</f>
        <v>1912173.3333333335</v>
      </c>
      <c r="AK66" s="20">
        <f t="shared" si="75"/>
        <v>2976804.0000000037</v>
      </c>
      <c r="AL66" s="20">
        <f t="shared" si="76"/>
        <v>1375022.5700000019</v>
      </c>
      <c r="AM66" s="20">
        <f t="shared" si="22"/>
        <v>6263999.9033333398</v>
      </c>
      <c r="AN66" s="50">
        <f>+AP38</f>
        <v>5015061.7783333398</v>
      </c>
      <c r="AO66" s="78">
        <f t="shared" si="87"/>
        <v>11279061.68166668</v>
      </c>
      <c r="AP66" s="215"/>
      <c r="AQ66" s="2"/>
      <c r="AR66" s="9"/>
    </row>
    <row r="67" spans="1:44" ht="15.75" thickBot="1" x14ac:dyDescent="0.3">
      <c r="A67" s="211"/>
      <c r="B67" s="211"/>
      <c r="C67" s="211"/>
      <c r="D67" s="211"/>
      <c r="E67" s="6">
        <v>5</v>
      </c>
      <c r="F67" s="16">
        <f>+H43</f>
        <v>47.25</v>
      </c>
      <c r="G67" s="6">
        <v>4</v>
      </c>
      <c r="H67" s="16">
        <f>+H66</f>
        <v>46.765000000000001</v>
      </c>
      <c r="I67" s="10">
        <f>+I66</f>
        <v>80</v>
      </c>
      <c r="J67" s="19">
        <f t="shared" si="9"/>
        <v>6.0624999999999932E-3</v>
      </c>
      <c r="K67" s="10">
        <f>+K66</f>
        <v>158</v>
      </c>
      <c r="L67" s="16">
        <f t="shared" si="10"/>
        <v>5.1920402377148429</v>
      </c>
      <c r="M67" s="34">
        <f t="shared" si="120"/>
        <v>5.1920402377148428E-3</v>
      </c>
      <c r="N67" s="34">
        <f t="shared" si="0"/>
        <v>9.9738046437711433E-2</v>
      </c>
      <c r="O67" s="34">
        <f t="shared" si="1"/>
        <v>3.9266947416421827</v>
      </c>
      <c r="P67" s="59">
        <f t="shared" si="12"/>
        <v>6</v>
      </c>
      <c r="Q67" s="55">
        <f>IF(O67&gt;0,VLOOKUP(P67,'$ alcantarillado'!$I$5:$L$22,4,FALSE),"0")</f>
        <v>0.14499999999999999</v>
      </c>
      <c r="R67" s="47">
        <f t="shared" si="2"/>
        <v>1.4082846175241982E-2</v>
      </c>
      <c r="S67" s="35">
        <f t="shared" si="3"/>
        <v>0.36867833200099759</v>
      </c>
      <c r="T67" s="58">
        <f>+IF(S67&gt;$B$13,VLOOKUP(P67,'$ alcantarillado'!$I$6:$N$22,5),P67)</f>
        <v>6</v>
      </c>
      <c r="U67" s="55">
        <f>IF(O67&gt;0,VLOOKUP(T67,'$ alcantarillado'!$I$5:$L$22,4),"0")</f>
        <v>0.14499999999999999</v>
      </c>
      <c r="V67" s="55">
        <f t="shared" si="4"/>
        <v>1.4082846175241982E-2</v>
      </c>
      <c r="W67" s="35">
        <f t="shared" si="104"/>
        <v>0.36867833200099759</v>
      </c>
      <c r="X67" s="35">
        <f t="shared" si="121"/>
        <v>0.8528340857427078</v>
      </c>
      <c r="Y67" s="55">
        <f>IF(T67&gt;0,(VLOOKUP($W67,Relaciones!$A$4:$D$108,2)),"")</f>
        <v>0.76800000000000002</v>
      </c>
      <c r="Z67" s="35">
        <f t="shared" si="122"/>
        <v>0.65497657785039964</v>
      </c>
      <c r="AA67" s="35">
        <f t="shared" si="123"/>
        <v>0.21976562499999974</v>
      </c>
      <c r="AB67" s="46" t="str">
        <f t="shared" si="124"/>
        <v>OK</v>
      </c>
      <c r="AC67" s="46" t="str">
        <f t="shared" si="125"/>
        <v>OK</v>
      </c>
      <c r="AD67" s="46" t="str">
        <f t="shared" si="126"/>
        <v>OK</v>
      </c>
      <c r="AE67" s="48">
        <f t="shared" si="127"/>
        <v>1</v>
      </c>
      <c r="AF67" s="48">
        <f t="shared" si="127"/>
        <v>1</v>
      </c>
      <c r="AG67" s="48">
        <f t="shared" si="127"/>
        <v>1</v>
      </c>
      <c r="AH67" s="48">
        <f t="shared" si="128"/>
        <v>3</v>
      </c>
      <c r="AI67" s="46">
        <f t="shared" si="129"/>
        <v>0.64500000000000002</v>
      </c>
      <c r="AJ67" s="22">
        <f>IF(AI67&gt;0,I67*VLOOKUP(T67,'$ alcantarillado'!$I$6:$K$22,3),0)</f>
        <v>1912173.3333333335</v>
      </c>
      <c r="AK67" s="20">
        <f t="shared" si="75"/>
        <v>3092904.0000000047</v>
      </c>
      <c r="AL67" s="20">
        <f t="shared" si="76"/>
        <v>1462270.1950000019</v>
      </c>
      <c r="AM67" s="22">
        <f t="shared" si="22"/>
        <v>6467347.5283333398</v>
      </c>
      <c r="AN67" s="51">
        <f>+AP43</f>
        <v>5073111.7783333398</v>
      </c>
      <c r="AO67" s="79">
        <f t="shared" si="87"/>
        <v>11540459.30666668</v>
      </c>
      <c r="AP67" s="216"/>
      <c r="AQ67" s="10"/>
      <c r="AR67" s="11"/>
    </row>
    <row r="68" spans="1:44" x14ac:dyDescent="0.25">
      <c r="A68" s="211"/>
      <c r="B68" s="211"/>
      <c r="C68" s="211"/>
      <c r="D68" s="211"/>
      <c r="E68" s="4">
        <v>1</v>
      </c>
      <c r="F68" s="7">
        <f>+H23</f>
        <v>47.75</v>
      </c>
      <c r="G68" s="4">
        <v>5</v>
      </c>
      <c r="H68" s="14">
        <f>+H58-2*$B$15</f>
        <v>46.64</v>
      </c>
      <c r="I68" s="12">
        <f>+I63</f>
        <v>80</v>
      </c>
      <c r="J68" s="18">
        <f>+(F68-H68)/I68</f>
        <v>1.3874999999999993E-2</v>
      </c>
      <c r="K68" s="12">
        <f>+K63</f>
        <v>158</v>
      </c>
      <c r="L68" s="14">
        <f>IF(K68&lt;38,K68^0.3686*0.7401,IF(K68&lt;235,K68^0.4193*0.6215,IF(K68&lt;932,K68*0.0092+4.2493,K68*0.0069+6.7345)))</f>
        <v>5.1920402377148429</v>
      </c>
      <c r="M68" s="31">
        <f>+L68/1000</f>
        <v>5.1920402377148428E-3</v>
      </c>
      <c r="N68" s="31">
        <f t="shared" si="0"/>
        <v>8.5396363058151126E-2</v>
      </c>
      <c r="O68" s="31">
        <f t="shared" si="1"/>
        <v>3.3620615377224854</v>
      </c>
      <c r="P68" s="57">
        <f t="shared" si="12"/>
        <v>6</v>
      </c>
      <c r="Q68" s="60">
        <f>IF(O68&gt;0,VLOOKUP(P68,'$ alcantarillado'!$I$5:$L$22,4,FALSE),"0")</f>
        <v>0.14499999999999999</v>
      </c>
      <c r="R68" s="60">
        <f t="shared" si="2"/>
        <v>2.130497631231059E-2</v>
      </c>
      <c r="S68" s="27">
        <f t="shared" si="3"/>
        <v>0.24370082189271161</v>
      </c>
      <c r="T68" s="57">
        <f>+IF(S68&gt;$B$13,VLOOKUP(P68,'$ alcantarillado'!$I$6:$N$22,5),P68)</f>
        <v>6</v>
      </c>
      <c r="U68" s="60">
        <f>IF(O68&gt;0,VLOOKUP(T68,'$ alcantarillado'!$I$5:$L$22,4),"0")</f>
        <v>0.14499999999999999</v>
      </c>
      <c r="V68" s="60">
        <f t="shared" si="4"/>
        <v>2.130497631231059E-2</v>
      </c>
      <c r="W68" s="27">
        <f t="shared" si="104"/>
        <v>0.24370082189271161</v>
      </c>
      <c r="X68" s="27">
        <f>IF(T68&gt;0,4*V68/(PI()*(U68)^2),"")</f>
        <v>1.2901944513902386</v>
      </c>
      <c r="Y68" s="60">
        <f>IF(T68&gt;0,(VLOOKUP($W68,Relaciones!$A$4:$D$108,2)),"")</f>
        <v>0.68700000000000006</v>
      </c>
      <c r="Z68" s="27">
        <f>IF(T68&gt;0,Y68*X68,"")</f>
        <v>0.88636358810509397</v>
      </c>
      <c r="AA68" s="27">
        <f>IF(T68&gt;0,250*U68*J68,"")</f>
        <v>0.50296874999999974</v>
      </c>
      <c r="AB68" s="45" t="str">
        <f>IF(T68&gt;0,IF(W68&lt;=$B$13,"OK","No Cumple"),"")</f>
        <v>OK</v>
      </c>
      <c r="AC68" s="45" t="str">
        <f>IF(T68&gt;0,IF(Z68&gt;=$B$12,"OK","No Cumple"),"")</f>
        <v>OK</v>
      </c>
      <c r="AD68" s="45" t="str">
        <f>IF(T68&gt;0,IF(AA68&gt;$B$14,"OK","No Cumple"),"")</f>
        <v>OK</v>
      </c>
      <c r="AE68" s="32">
        <f>+IF(AB68="OK",1,0)</f>
        <v>1</v>
      </c>
      <c r="AF68" s="32">
        <f>+IF(AC68="OK",1,0)</f>
        <v>1</v>
      </c>
      <c r="AG68" s="32">
        <f>+IF(AD68="OK",1,0)</f>
        <v>1</v>
      </c>
      <c r="AH68" s="32">
        <f>SUM(AE68:AG68)</f>
        <v>3</v>
      </c>
      <c r="AI68" s="45">
        <f>IF(AH68=3,2*$B$7+U68,0)</f>
        <v>0.64500000000000002</v>
      </c>
      <c r="AJ68" s="21">
        <f>IF(AI68&gt;0,I68*VLOOKUP(T68,'$ alcantarillado'!$I$6:$K$22,3),0)</f>
        <v>1912173.3333333335</v>
      </c>
      <c r="AK68" s="21">
        <f t="shared" si="75"/>
        <v>2686554.0000000042</v>
      </c>
      <c r="AL68" s="21">
        <f t="shared" si="76"/>
        <v>1113279.6950000019</v>
      </c>
      <c r="AM68" s="21">
        <f>IF(AJ68&gt;0,AJ68+AK68+AL68,0)</f>
        <v>5712007.0283333398</v>
      </c>
      <c r="AN68" s="49">
        <f>IF(AP23&gt;0,+AP23,0)</f>
        <v>4840911.7783333398</v>
      </c>
      <c r="AO68" s="77">
        <f>IF((AM68)&gt;0,IF(AN68&gt;0,AM68+AN68,""),"")</f>
        <v>10552918.80666668</v>
      </c>
      <c r="AP68" s="213">
        <f>+MIN(AO68:AO72)</f>
        <v>10552918.80666668</v>
      </c>
      <c r="AQ68" s="2"/>
      <c r="AR68" s="9"/>
    </row>
    <row r="69" spans="1:44" x14ac:dyDescent="0.25">
      <c r="A69" s="211"/>
      <c r="B69" s="211"/>
      <c r="C69" s="211"/>
      <c r="D69" s="211"/>
      <c r="E69" s="5">
        <v>2</v>
      </c>
      <c r="F69" s="2">
        <f>+H28</f>
        <v>47.625</v>
      </c>
      <c r="G69" s="5">
        <v>5</v>
      </c>
      <c r="H69" s="15">
        <f>+H68</f>
        <v>46.64</v>
      </c>
      <c r="I69" s="2">
        <f>+I68</f>
        <v>80</v>
      </c>
      <c r="J69" s="18">
        <f t="shared" si="9"/>
        <v>1.2312499999999994E-2</v>
      </c>
      <c r="K69" s="2">
        <f>+K68</f>
        <v>158</v>
      </c>
      <c r="L69" s="15">
        <f t="shared" si="10"/>
        <v>5.1920402377148429</v>
      </c>
      <c r="M69" s="33">
        <f t="shared" ref="M69:M72" si="133">+L69/1000</f>
        <v>5.1920402377148428E-3</v>
      </c>
      <c r="N69" s="33">
        <f t="shared" si="0"/>
        <v>8.7330941097919015E-2</v>
      </c>
      <c r="O69" s="33">
        <f t="shared" si="1"/>
        <v>3.4382260274771266</v>
      </c>
      <c r="P69" s="58">
        <f t="shared" si="12"/>
        <v>6</v>
      </c>
      <c r="Q69" s="55">
        <f>IF(O69&gt;0,VLOOKUP(P69,'$ alcantarillado'!$I$5:$L$22,4,FALSE),"0")</f>
        <v>0.14499999999999999</v>
      </c>
      <c r="R69" s="55">
        <f t="shared" si="2"/>
        <v>2.006955215777367E-2</v>
      </c>
      <c r="S69" s="35">
        <f t="shared" si="3"/>
        <v>0.25870234656450847</v>
      </c>
      <c r="T69" s="58">
        <f>+IF(S69&gt;$B$13,VLOOKUP(P69,'$ alcantarillado'!$I$6:$N$22,5),P69)</f>
        <v>6</v>
      </c>
      <c r="U69" s="55">
        <f>IF(O69&gt;0,VLOOKUP(T69,'$ alcantarillado'!$I$5:$L$22,4),"0")</f>
        <v>0.14499999999999999</v>
      </c>
      <c r="V69" s="55">
        <f t="shared" si="4"/>
        <v>2.006955215777367E-2</v>
      </c>
      <c r="W69" s="35">
        <f t="shared" si="104"/>
        <v>0.25870234656450847</v>
      </c>
      <c r="X69" s="35">
        <f t="shared" ref="X69:X72" si="134">IF(T69&gt;0,4*V69/(PI()*(U69)^2),"")</f>
        <v>1.2153791891749037</v>
      </c>
      <c r="Y69" s="55">
        <f>IF(T69&gt;0,(VLOOKUP($W69,Relaciones!$A$4:$D$108,2)),"")</f>
        <v>0.69499999999999995</v>
      </c>
      <c r="Z69" s="35">
        <f t="shared" ref="Z69:Z72" si="135">IF(T69&gt;0,Y69*X69,"")</f>
        <v>0.84468853647655806</v>
      </c>
      <c r="AA69" s="35">
        <f t="shared" ref="AA69:AA72" si="136">IF(T69&gt;0,250*U69*J69,"")</f>
        <v>0.44632812499999974</v>
      </c>
      <c r="AB69" s="46" t="str">
        <f t="shared" ref="AB69:AB72" si="137">IF(T69&gt;0,IF(W69&lt;=$B$13,"OK","No Cumple"),"")</f>
        <v>OK</v>
      </c>
      <c r="AC69" s="46" t="str">
        <f t="shared" ref="AC69:AC72" si="138">IF(T69&gt;0,IF(Z69&gt;=$B$12,"OK","No Cumple"),"")</f>
        <v>OK</v>
      </c>
      <c r="AD69" s="46" t="str">
        <f t="shared" ref="AD69:AD72" si="139">IF(T69&gt;0,IF(AA69&gt;$B$14,"OK","No Cumple"),"")</f>
        <v>OK</v>
      </c>
      <c r="AE69" s="48">
        <f t="shared" ref="AE69:AG72" si="140">+IF(AB69="OK",1,0)</f>
        <v>1</v>
      </c>
      <c r="AF69" s="48">
        <f t="shared" si="140"/>
        <v>1</v>
      </c>
      <c r="AG69" s="48">
        <f t="shared" si="140"/>
        <v>1</v>
      </c>
      <c r="AH69" s="48">
        <f t="shared" ref="AH69:AH72" si="141">SUM(AE69:AG69)</f>
        <v>3</v>
      </c>
      <c r="AI69" s="46">
        <f t="shared" ref="AI69:AI72" si="142">IF(AH69=3,2*$B$7+U69,0)</f>
        <v>0.64500000000000002</v>
      </c>
      <c r="AJ69" s="20">
        <f>IF(AI69&gt;0,I69*VLOOKUP(T69,'$ alcantarillado'!$I$6:$K$22,3),0)</f>
        <v>1912173.3333333335</v>
      </c>
      <c r="AK69" s="20">
        <f t="shared" si="75"/>
        <v>2802654.0000000047</v>
      </c>
      <c r="AL69" s="20">
        <f t="shared" si="76"/>
        <v>1200527.3200000019</v>
      </c>
      <c r="AM69" s="20">
        <f t="shared" si="22"/>
        <v>5915354.6533333398</v>
      </c>
      <c r="AN69" s="50">
        <f>+AP28</f>
        <v>4898961.7783333398</v>
      </c>
      <c r="AO69" s="78">
        <f t="shared" si="87"/>
        <v>10814316.43166668</v>
      </c>
      <c r="AP69" s="214"/>
      <c r="AQ69" s="2"/>
      <c r="AR69" s="9"/>
    </row>
    <row r="70" spans="1:44" x14ac:dyDescent="0.25">
      <c r="A70" s="211"/>
      <c r="B70" s="211"/>
      <c r="C70" s="211"/>
      <c r="D70" s="211"/>
      <c r="E70" s="56">
        <v>3</v>
      </c>
      <c r="F70" s="2">
        <f>+H33</f>
        <v>47.5</v>
      </c>
      <c r="G70" s="56">
        <v>5</v>
      </c>
      <c r="H70" s="15">
        <f t="shared" ref="H70:H71" si="143">+H69</f>
        <v>46.64</v>
      </c>
      <c r="I70" s="2">
        <f t="shared" ref="I70:I71" si="144">+I69</f>
        <v>80</v>
      </c>
      <c r="J70" s="18">
        <f t="shared" si="9"/>
        <v>1.0749999999999992E-2</v>
      </c>
      <c r="K70" s="2">
        <f t="shared" ref="K70:K71" si="145">+K69</f>
        <v>158</v>
      </c>
      <c r="L70" s="15">
        <f t="shared" si="10"/>
        <v>5.1920402377148429</v>
      </c>
      <c r="M70" s="33">
        <f t="shared" si="133"/>
        <v>5.1920402377148428E-3</v>
      </c>
      <c r="N70" s="33">
        <f t="shared" si="0"/>
        <v>8.9581632759616031E-2</v>
      </c>
      <c r="O70" s="33">
        <f t="shared" si="1"/>
        <v>3.5268359354179539</v>
      </c>
      <c r="P70" s="58">
        <f t="shared" si="12"/>
        <v>6</v>
      </c>
      <c r="Q70" s="55">
        <f>IF(O70&gt;0,VLOOKUP(P70,'$ alcantarillado'!$I$5:$L$22,4,FALSE),"0")</f>
        <v>0.14499999999999999</v>
      </c>
      <c r="R70" s="55">
        <f t="shared" si="2"/>
        <v>1.8752915292270699E-2</v>
      </c>
      <c r="S70" s="35">
        <f t="shared" si="3"/>
        <v>0.27686576496481169</v>
      </c>
      <c r="T70" s="58">
        <f>+IF(S70&gt;$B$13,VLOOKUP(P70,'$ alcantarillado'!$I$6:$N$22,5),P70)</f>
        <v>6</v>
      </c>
      <c r="U70" s="55">
        <f>IF(O70&gt;0,VLOOKUP(T70,'$ alcantarillado'!$I$5:$L$22,4),"0")</f>
        <v>0.14499999999999999</v>
      </c>
      <c r="V70" s="55">
        <f t="shared" si="4"/>
        <v>1.8752915292270699E-2</v>
      </c>
      <c r="W70" s="35">
        <f t="shared" si="104"/>
        <v>0.27686576496481169</v>
      </c>
      <c r="X70" s="35">
        <f t="shared" si="134"/>
        <v>1.1356458182729046</v>
      </c>
      <c r="Y70" s="55">
        <f>IF(T70&gt;0,(VLOOKUP($W70,Relaciones!$A$4:$D$108,2)),"")</f>
        <v>0.70599999999999996</v>
      </c>
      <c r="Z70" s="35">
        <f t="shared" si="135"/>
        <v>0.80176594770067056</v>
      </c>
      <c r="AA70" s="35">
        <f t="shared" si="136"/>
        <v>0.38968749999999974</v>
      </c>
      <c r="AB70" s="46" t="str">
        <f t="shared" si="137"/>
        <v>OK</v>
      </c>
      <c r="AC70" s="46" t="str">
        <f t="shared" si="138"/>
        <v>OK</v>
      </c>
      <c r="AD70" s="46" t="str">
        <f t="shared" si="139"/>
        <v>OK</v>
      </c>
      <c r="AE70" s="48">
        <f t="shared" si="140"/>
        <v>1</v>
      </c>
      <c r="AF70" s="48">
        <f t="shared" si="140"/>
        <v>1</v>
      </c>
      <c r="AG70" s="48">
        <f t="shared" si="140"/>
        <v>1</v>
      </c>
      <c r="AH70" s="48">
        <f t="shared" si="141"/>
        <v>3</v>
      </c>
      <c r="AI70" s="46">
        <f t="shared" si="142"/>
        <v>0.64500000000000002</v>
      </c>
      <c r="AJ70" s="20">
        <f>IF(AI70&gt;0,I70*VLOOKUP(T70,'$ alcantarillado'!$I$6:$K$22,3),0)</f>
        <v>1912173.3333333335</v>
      </c>
      <c r="AK70" s="20">
        <f t="shared" si="75"/>
        <v>2918754.0000000047</v>
      </c>
      <c r="AL70" s="20">
        <f t="shared" si="76"/>
        <v>1287774.9450000019</v>
      </c>
      <c r="AM70" s="20">
        <f t="shared" si="22"/>
        <v>6118702.2783333398</v>
      </c>
      <c r="AN70" s="50">
        <f>+AP33</f>
        <v>4957011.7783333398</v>
      </c>
      <c r="AO70" s="78">
        <f t="shared" si="87"/>
        <v>11075714.05666668</v>
      </c>
      <c r="AP70" s="215"/>
      <c r="AQ70" s="2">
        <v>1</v>
      </c>
      <c r="AR70" s="9">
        <v>5</v>
      </c>
    </row>
    <row r="71" spans="1:44" x14ac:dyDescent="0.25">
      <c r="A71" s="211"/>
      <c r="B71" s="211"/>
      <c r="C71" s="211"/>
      <c r="D71" s="211"/>
      <c r="E71" s="56">
        <v>4</v>
      </c>
      <c r="F71" s="2">
        <f>+H38</f>
        <v>47.375</v>
      </c>
      <c r="G71" s="56">
        <v>5</v>
      </c>
      <c r="H71" s="15">
        <f t="shared" si="143"/>
        <v>46.64</v>
      </c>
      <c r="I71" s="2">
        <f t="shared" si="144"/>
        <v>80</v>
      </c>
      <c r="J71" s="18">
        <f>+(F71-H71)/I71</f>
        <v>9.1874999999999925E-3</v>
      </c>
      <c r="K71" s="2">
        <f t="shared" si="145"/>
        <v>158</v>
      </c>
      <c r="L71" s="15">
        <f t="shared" si="10"/>
        <v>5.1920402377148429</v>
      </c>
      <c r="M71" s="33">
        <f t="shared" si="133"/>
        <v>5.1920402377148428E-3</v>
      </c>
      <c r="N71" s="33">
        <f t="shared" si="0"/>
        <v>9.2258960576735272E-2</v>
      </c>
      <c r="O71" s="33">
        <f t="shared" si="1"/>
        <v>3.6322425423911526</v>
      </c>
      <c r="P71" s="58">
        <f t="shared" si="12"/>
        <v>6</v>
      </c>
      <c r="Q71" s="55">
        <f>IF(O71&gt;0,VLOOKUP(P71,'$ alcantarillado'!$I$5:$L$22,4,FALSE),"0")</f>
        <v>0.14499999999999999</v>
      </c>
      <c r="R71" s="55">
        <f t="shared" si="2"/>
        <v>1.7336572328593754E-2</v>
      </c>
      <c r="S71" s="35">
        <f t="shared" si="3"/>
        <v>0.29948481968096125</v>
      </c>
      <c r="T71" s="58">
        <f>+IF(S71&gt;$B$13,VLOOKUP(P71,'$ alcantarillado'!$I$6:$N$22,5),P71)</f>
        <v>6</v>
      </c>
      <c r="U71" s="55">
        <f>IF(O71&gt;0,VLOOKUP(T71,'$ alcantarillado'!$I$5:$L$22,4),"0")</f>
        <v>0.14499999999999999</v>
      </c>
      <c r="V71" s="55">
        <f t="shared" si="4"/>
        <v>1.7336572328593754E-2</v>
      </c>
      <c r="W71" s="35">
        <f t="shared" si="104"/>
        <v>0.29948481968096125</v>
      </c>
      <c r="X71" s="35">
        <f t="shared" si="134"/>
        <v>1.0498744094614476</v>
      </c>
      <c r="Y71" s="55">
        <f>IF(T71&gt;0,(VLOOKUP($W71,Relaciones!$A$4:$D$108,2)),"")</f>
        <v>0.72</v>
      </c>
      <c r="Z71" s="35">
        <f t="shared" si="135"/>
        <v>0.7559095748122423</v>
      </c>
      <c r="AA71" s="35">
        <f t="shared" si="136"/>
        <v>0.33304687499999974</v>
      </c>
      <c r="AB71" s="46" t="str">
        <f t="shared" si="137"/>
        <v>OK</v>
      </c>
      <c r="AC71" s="46" t="str">
        <f t="shared" si="138"/>
        <v>OK</v>
      </c>
      <c r="AD71" s="46" t="str">
        <f t="shared" si="139"/>
        <v>OK</v>
      </c>
      <c r="AE71" s="48">
        <f t="shared" si="140"/>
        <v>1</v>
      </c>
      <c r="AF71" s="48">
        <f t="shared" si="140"/>
        <v>1</v>
      </c>
      <c r="AG71" s="48">
        <f t="shared" si="140"/>
        <v>1</v>
      </c>
      <c r="AH71" s="48">
        <f t="shared" si="141"/>
        <v>3</v>
      </c>
      <c r="AI71" s="46">
        <f t="shared" si="142"/>
        <v>0.64500000000000002</v>
      </c>
      <c r="AJ71" s="20">
        <f>IF(AI71&gt;0,I71*VLOOKUP(T71,'$ alcantarillado'!$I$6:$K$22,3),0)</f>
        <v>1912173.3333333335</v>
      </c>
      <c r="AK71" s="20">
        <f t="shared" si="75"/>
        <v>3034854.0000000042</v>
      </c>
      <c r="AL71" s="20">
        <f t="shared" si="76"/>
        <v>1375022.5700000019</v>
      </c>
      <c r="AM71" s="20">
        <f t="shared" si="22"/>
        <v>6322049.9033333398</v>
      </c>
      <c r="AN71" s="50">
        <f>+AP38</f>
        <v>5015061.7783333398</v>
      </c>
      <c r="AO71" s="78">
        <f t="shared" si="87"/>
        <v>11337111.68166668</v>
      </c>
      <c r="AP71" s="215"/>
      <c r="AQ71" s="2"/>
      <c r="AR71" s="9"/>
    </row>
    <row r="72" spans="1:44" ht="15.75" thickBot="1" x14ac:dyDescent="0.3">
      <c r="A72" s="212"/>
      <c r="B72" s="212"/>
      <c r="C72" s="212"/>
      <c r="D72" s="212"/>
      <c r="E72" s="6">
        <v>5</v>
      </c>
      <c r="F72" s="16">
        <f>+H43</f>
        <v>47.25</v>
      </c>
      <c r="G72" s="6">
        <v>5</v>
      </c>
      <c r="H72" s="16">
        <f>+H71</f>
        <v>46.64</v>
      </c>
      <c r="I72" s="10">
        <f>+I71</f>
        <v>80</v>
      </c>
      <c r="J72" s="19">
        <f t="shared" si="9"/>
        <v>7.6249999999999929E-3</v>
      </c>
      <c r="K72" s="10">
        <f>+K71</f>
        <v>158</v>
      </c>
      <c r="L72" s="16">
        <f t="shared" si="10"/>
        <v>5.1920402377148429</v>
      </c>
      <c r="M72" s="34">
        <f t="shared" si="133"/>
        <v>5.1920402377148428E-3</v>
      </c>
      <c r="N72" s="34">
        <f t="shared" si="0"/>
        <v>9.5540627508621162E-2</v>
      </c>
      <c r="O72" s="34">
        <f t="shared" si="1"/>
        <v>3.7614420278984713</v>
      </c>
      <c r="P72" s="59">
        <f t="shared" si="12"/>
        <v>6</v>
      </c>
      <c r="Q72" s="55">
        <f>IF(O72&gt;0,VLOOKUP(P72,'$ alcantarillado'!$I$5:$L$22,4,FALSE),"0")</f>
        <v>0.14499999999999999</v>
      </c>
      <c r="R72" s="47">
        <f t="shared" si="2"/>
        <v>1.5793721798551638E-2</v>
      </c>
      <c r="S72" s="35">
        <f t="shared" si="3"/>
        <v>0.32874076825837079</v>
      </c>
      <c r="T72" s="58">
        <f>+IF(S72&gt;$B$13,VLOOKUP(P72,'$ alcantarillado'!$I$6:$N$22,5),P72)</f>
        <v>6</v>
      </c>
      <c r="U72" s="55">
        <f>IF(O72&gt;0,VLOOKUP(T72,'$ alcantarillado'!$I$5:$L$22,4),"0")</f>
        <v>0.14499999999999999</v>
      </c>
      <c r="V72" s="55">
        <f t="shared" si="4"/>
        <v>1.5793721798551638E-2</v>
      </c>
      <c r="W72" s="35">
        <f t="shared" si="104"/>
        <v>0.32874076825837079</v>
      </c>
      <c r="X72" s="35">
        <f t="shared" si="134"/>
        <v>0.95644190974847587</v>
      </c>
      <c r="Y72" s="55">
        <f>IF(T72&gt;0,(VLOOKUP($W72,Relaciones!$A$4:$D$108,2)),"")</f>
        <v>0.74</v>
      </c>
      <c r="Z72" s="35">
        <f t="shared" si="135"/>
        <v>0.70776701321387214</v>
      </c>
      <c r="AA72" s="35">
        <f t="shared" si="136"/>
        <v>0.27640624999999974</v>
      </c>
      <c r="AB72" s="46" t="str">
        <f t="shared" si="137"/>
        <v>OK</v>
      </c>
      <c r="AC72" s="46" t="str">
        <f t="shared" si="138"/>
        <v>OK</v>
      </c>
      <c r="AD72" s="46" t="str">
        <f t="shared" si="139"/>
        <v>OK</v>
      </c>
      <c r="AE72" s="48">
        <f t="shared" si="140"/>
        <v>1</v>
      </c>
      <c r="AF72" s="48">
        <f t="shared" si="140"/>
        <v>1</v>
      </c>
      <c r="AG72" s="48">
        <f t="shared" si="140"/>
        <v>1</v>
      </c>
      <c r="AH72" s="48">
        <f t="shared" si="141"/>
        <v>3</v>
      </c>
      <c r="AI72" s="46">
        <f t="shared" si="142"/>
        <v>0.64500000000000002</v>
      </c>
      <c r="AJ72" s="22">
        <f>IF(AI72&gt;0,I72*VLOOKUP(T72,'$ alcantarillado'!$I$6:$K$22,3),0)</f>
        <v>1912173.3333333335</v>
      </c>
      <c r="AK72" s="20">
        <f t="shared" si="75"/>
        <v>3150954.0000000042</v>
      </c>
      <c r="AL72" s="20">
        <f t="shared" si="76"/>
        <v>1462270.1950000019</v>
      </c>
      <c r="AM72" s="22">
        <f t="shared" si="22"/>
        <v>6525397.5283333398</v>
      </c>
      <c r="AN72" s="51">
        <f>+AP43</f>
        <v>5073111.7783333398</v>
      </c>
      <c r="AO72" s="79">
        <f t="shared" si="87"/>
        <v>11598509.30666668</v>
      </c>
      <c r="AP72" s="216"/>
      <c r="AQ72" s="2"/>
      <c r="AR72" s="9"/>
    </row>
    <row r="73" spans="1:44" x14ac:dyDescent="0.25">
      <c r="A73" s="229">
        <v>3</v>
      </c>
      <c r="B73" s="229">
        <v>5</v>
      </c>
      <c r="C73" s="229">
        <v>6</v>
      </c>
      <c r="D73" s="229">
        <v>49.09</v>
      </c>
      <c r="E73" s="127">
        <v>1</v>
      </c>
      <c r="F73" s="189">
        <f>IF(H48&lt;H176,H48,H176)</f>
        <v>47.14</v>
      </c>
      <c r="G73" s="127">
        <v>1</v>
      </c>
      <c r="H73" s="136">
        <f>+H83+2*$B$15</f>
        <v>46.64</v>
      </c>
      <c r="I73" s="129">
        <v>80</v>
      </c>
      <c r="J73" s="130">
        <f>+(F73-H73)/I73</f>
        <v>6.2500000000000003E-3</v>
      </c>
      <c r="K73" s="131">
        <f>+K48+(K176)+H4</f>
        <v>1264</v>
      </c>
      <c r="L73" s="132">
        <f>IF(K73&lt;38,K73^0.3686*0.7401,IF(K73&lt;235,K73^0.4193*0.6215,IF(K73&lt;932,K73*0.0092+4.2493,K73*0.0069+6.7345)))</f>
        <v>15.456099999999999</v>
      </c>
      <c r="M73" s="133">
        <f>+L73/1000</f>
        <v>1.5456099999999999E-2</v>
      </c>
      <c r="N73" s="133">
        <f t="shared" si="0"/>
        <v>0.14929362341696081</v>
      </c>
      <c r="O73" s="133">
        <f t="shared" si="1"/>
        <v>5.8777017093291661</v>
      </c>
      <c r="P73" s="134">
        <f t="shared" si="12"/>
        <v>6</v>
      </c>
      <c r="Q73" s="135">
        <f>IF(O73&gt;0,VLOOKUP(P73,'$ alcantarillado'!$I$5:$L$22,4,FALSE),"0")</f>
        <v>0.14499999999999999</v>
      </c>
      <c r="R73" s="135">
        <f t="shared" si="2"/>
        <v>1.4298963858198607E-2</v>
      </c>
      <c r="S73" s="136">
        <f t="shared" si="3"/>
        <v>1.0809244748973839</v>
      </c>
      <c r="T73" s="134">
        <f>+IF(S73&gt;$B$13,VLOOKUP(P73,'$ alcantarillado'!$I$6:$N$22,5),P73)</f>
        <v>8</v>
      </c>
      <c r="U73" s="135">
        <f>IF(O73&gt;0,VLOOKUP(T73,'$ alcantarillado'!$I$5:$L$22,4),"0")</f>
        <v>0.182</v>
      </c>
      <c r="V73" s="135">
        <f t="shared" si="4"/>
        <v>2.6212811057560712E-2</v>
      </c>
      <c r="W73" s="136">
        <f t="shared" si="104"/>
        <v>0.58963916407362604</v>
      </c>
      <c r="X73" s="136">
        <f>IF(T73&gt;0,4*V73/(PI()*(U73)^2),"")</f>
        <v>1.0075832513330949</v>
      </c>
      <c r="Y73" s="135">
        <f>IF(T73&gt;0,(VLOOKUP($W73,Relaciones!$A$4:$D$108,2)),"")</f>
        <v>0.89</v>
      </c>
      <c r="Z73" s="136">
        <f>IF(T73&gt;0,Y73*X73,"")</f>
        <v>0.8967490936864545</v>
      </c>
      <c r="AA73" s="136">
        <f>IF(T73&gt;0,250*U73*J73,"")</f>
        <v>0.28437499999999999</v>
      </c>
      <c r="AB73" s="137" t="str">
        <f>IF(T73&gt;0,IF(W73&lt;=$B$13,"OK","No Cumple"),"")</f>
        <v>OK</v>
      </c>
      <c r="AC73" s="137" t="str">
        <f>IF(T73&gt;0,IF(Z73&gt;=$B$12,"OK","No Cumple"),"")</f>
        <v>OK</v>
      </c>
      <c r="AD73" s="137" t="str">
        <f>IF(T73&gt;0,IF(AA73&gt;$B$14,"OK","No Cumple"),"")</f>
        <v>OK</v>
      </c>
      <c r="AE73" s="138">
        <f>+IF(AB73="OK",1,0)</f>
        <v>1</v>
      </c>
      <c r="AF73" s="138">
        <f>+IF(AC73="OK",1,0)</f>
        <v>1</v>
      </c>
      <c r="AG73" s="138">
        <f>+IF(AD73="OK",1,0)</f>
        <v>1</v>
      </c>
      <c r="AH73" s="138">
        <f>SUM(AE73:AG73)</f>
        <v>3</v>
      </c>
      <c r="AI73" s="137">
        <f>IF(AH73=3,2*$B$7+U73,0)</f>
        <v>0.68199999999999994</v>
      </c>
      <c r="AJ73" s="139">
        <f>IF(AI73&gt;0,I73*VLOOKUP(T73,'$ alcantarillado'!$I$6:$K$22,3),0)</f>
        <v>2654586.666666667</v>
      </c>
      <c r="AK73" s="139">
        <f t="shared" ref="AK73:AK97" si="146">IF(N73&gt;0,((($D$73-F73)+(U73))+(($D$98-H73)+(U73))/2)*AI73*I73*$C$9,0)</f>
        <v>3386211.8400000036</v>
      </c>
      <c r="AL73" s="139">
        <f t="shared" ref="AL73:AL97" si="147">IF(AI73&gt;0,(($D$73-F73)+U73)*$C$10,0)</f>
        <v>1488095.4920000019</v>
      </c>
      <c r="AM73" s="139">
        <f>IF(AJ73&gt;0,AJ73+AK73+AL73,0)</f>
        <v>7528893.998666672</v>
      </c>
      <c r="AN73" s="179">
        <f>IF(AP48&gt;0,IF(AP176&gt;0,AP48+AP176,0),0)</f>
        <v>0</v>
      </c>
      <c r="AO73" s="140" t="str">
        <f>IF((AM73)&gt;0,IF(AN73&gt;0,AM73+AN73,""),"")</f>
        <v/>
      </c>
      <c r="AP73" s="225">
        <f>+MIN(AO73:AO77)</f>
        <v>30942977.427666694</v>
      </c>
      <c r="AQ73" s="129"/>
      <c r="AR73" s="163"/>
    </row>
    <row r="74" spans="1:44" x14ac:dyDescent="0.25">
      <c r="A74" s="230"/>
      <c r="B74" s="230"/>
      <c r="C74" s="230"/>
      <c r="D74" s="230"/>
      <c r="E74" s="141">
        <v>2</v>
      </c>
      <c r="F74" s="190">
        <f>IF(H53&lt;H181,H53,H181)</f>
        <v>47.015000000000001</v>
      </c>
      <c r="G74" s="141">
        <v>1</v>
      </c>
      <c r="H74" s="146">
        <f>+H73</f>
        <v>46.64</v>
      </c>
      <c r="I74" s="142">
        <f>+I73</f>
        <v>80</v>
      </c>
      <c r="J74" s="143">
        <f t="shared" si="9"/>
        <v>4.6874999999999998E-3</v>
      </c>
      <c r="K74" s="142">
        <f>+K73</f>
        <v>1264</v>
      </c>
      <c r="L74" s="128">
        <f t="shared" si="10"/>
        <v>15.456099999999999</v>
      </c>
      <c r="M74" s="144">
        <f t="shared" ref="M74:M77" si="148">+L74/1000</f>
        <v>1.5456099999999999E-2</v>
      </c>
      <c r="N74" s="144">
        <f t="shared" si="0"/>
        <v>0.15756772760132909</v>
      </c>
      <c r="O74" s="144">
        <f t="shared" si="1"/>
        <v>6.2034538425720118</v>
      </c>
      <c r="P74" s="145">
        <f t="shared" si="12"/>
        <v>8</v>
      </c>
      <c r="Q74" s="113">
        <f>IF(O74&gt;0,VLOOKUP(P74,'$ alcantarillado'!$I$5:$L$22,4,FALSE),"0")</f>
        <v>0.182</v>
      </c>
      <c r="R74" s="113">
        <f t="shared" si="2"/>
        <v>2.2700960280449212E-2</v>
      </c>
      <c r="S74" s="146">
        <f t="shared" si="3"/>
        <v>0.68085666020530788</v>
      </c>
      <c r="T74" s="145">
        <f>+IF(S74&gt;$B$13,VLOOKUP(P74,'$ alcantarillado'!$I$6:$N$22,5),P74)</f>
        <v>8</v>
      </c>
      <c r="U74" s="113">
        <f>IF(O74&gt;0,VLOOKUP(T74,'$ alcantarillado'!$I$5:$L$22,4),"0")</f>
        <v>0.182</v>
      </c>
      <c r="V74" s="113">
        <f t="shared" si="4"/>
        <v>2.2700960280449212E-2</v>
      </c>
      <c r="W74" s="146">
        <f t="shared" si="104"/>
        <v>0.68085666020530788</v>
      </c>
      <c r="X74" s="146">
        <f t="shared" ref="X74:X77" si="149">IF(T74&gt;0,4*V74/(PI()*(U74)^2),"")</f>
        <v>0.87259269208218104</v>
      </c>
      <c r="Y74" s="113">
        <f>IF(T74&gt;0,(VLOOKUP($W74,Relaciones!$A$4:$D$108,2)),"")</f>
        <v>0.93600000000000005</v>
      </c>
      <c r="Z74" s="146">
        <f t="shared" ref="Z74:Z77" si="150">IF(T74&gt;0,Y74*X74,"")</f>
        <v>0.81674675978892153</v>
      </c>
      <c r="AA74" s="146">
        <f t="shared" ref="AA74:AA77" si="151">IF(T74&gt;0,250*U74*J74,"")</f>
        <v>0.21328125000000001</v>
      </c>
      <c r="AB74" s="147" t="str">
        <f t="shared" ref="AB74:AB77" si="152">IF(T74&gt;0,IF(W74&lt;=$B$13,"OK","No Cumple"),"")</f>
        <v>OK</v>
      </c>
      <c r="AC74" s="147" t="str">
        <f t="shared" ref="AC74:AC77" si="153">IF(T74&gt;0,IF(Z74&gt;=$B$12,"OK","No Cumple"),"")</f>
        <v>OK</v>
      </c>
      <c r="AD74" s="147" t="str">
        <f t="shared" ref="AD74:AD77" si="154">IF(T74&gt;0,IF(AA74&gt;$B$14,"OK","No Cumple"),"")</f>
        <v>OK</v>
      </c>
      <c r="AE74" s="148">
        <f t="shared" ref="AE74:AG77" si="155">+IF(AB74="OK",1,0)</f>
        <v>1</v>
      </c>
      <c r="AF74" s="148">
        <f t="shared" si="155"/>
        <v>1</v>
      </c>
      <c r="AG74" s="148">
        <f t="shared" si="155"/>
        <v>1</v>
      </c>
      <c r="AH74" s="148">
        <f t="shared" ref="AH74:AH77" si="156">SUM(AE74:AG74)</f>
        <v>3</v>
      </c>
      <c r="AI74" s="147">
        <f t="shared" ref="AI74:AI77" si="157">IF(AH74=3,2*$B$7+U74,0)</f>
        <v>0.68199999999999994</v>
      </c>
      <c r="AJ74" s="149">
        <f>IF(AI74&gt;0,I74*VLOOKUP(T74,'$ alcantarillado'!$I$6:$K$22,3),0)</f>
        <v>2654586.666666667</v>
      </c>
      <c r="AK74" s="149">
        <f t="shared" si="146"/>
        <v>3508971.8400000031</v>
      </c>
      <c r="AL74" s="149">
        <f t="shared" si="147"/>
        <v>1575343.1170000019</v>
      </c>
      <c r="AM74" s="149">
        <f t="shared" si="22"/>
        <v>7738901.623666672</v>
      </c>
      <c r="AN74" s="180">
        <f>IF(AP53&gt;0,IF(AP181&gt;0,AP53+AP181,0),0)</f>
        <v>23204075.804000024</v>
      </c>
      <c r="AO74" s="161">
        <f t="shared" si="87"/>
        <v>30942977.427666694</v>
      </c>
      <c r="AP74" s="226"/>
      <c r="AQ74" s="142">
        <v>2</v>
      </c>
      <c r="AR74" s="165">
        <v>1</v>
      </c>
    </row>
    <row r="75" spans="1:44" x14ac:dyDescent="0.25">
      <c r="A75" s="230"/>
      <c r="B75" s="230"/>
      <c r="C75" s="230"/>
      <c r="D75" s="230"/>
      <c r="E75" s="151">
        <v>3</v>
      </c>
      <c r="F75" s="190">
        <f>IF(H58&lt;H186,H58,H186)</f>
        <v>46.89</v>
      </c>
      <c r="G75" s="151">
        <v>1</v>
      </c>
      <c r="H75" s="142">
        <f t="shared" ref="H75:H76" si="158">+H74</f>
        <v>46.64</v>
      </c>
      <c r="I75" s="142">
        <f t="shared" ref="I75:I76" si="159">+I74</f>
        <v>80</v>
      </c>
      <c r="J75" s="143">
        <f t="shared" si="9"/>
        <v>3.1250000000000002E-3</v>
      </c>
      <c r="K75" s="142">
        <f t="shared" ref="K75:K76" si="160">+K74</f>
        <v>1264</v>
      </c>
      <c r="L75" s="128">
        <f t="shared" si="10"/>
        <v>15.456099999999999</v>
      </c>
      <c r="M75" s="144">
        <f t="shared" si="148"/>
        <v>1.5456099999999999E-2</v>
      </c>
      <c r="N75" s="144">
        <f t="shared" si="0"/>
        <v>0.17001388158888045</v>
      </c>
      <c r="O75" s="144">
        <f t="shared" si="1"/>
        <v>6.6934599050740333</v>
      </c>
      <c r="P75" s="145">
        <f t="shared" si="12"/>
        <v>8</v>
      </c>
      <c r="Q75" s="113">
        <f>IF(O75&gt;0,VLOOKUP(P75,'$ alcantarillado'!$I$5:$L$22,4,FALSE),"0")</f>
        <v>0.182</v>
      </c>
      <c r="R75" s="113">
        <f t="shared" si="2"/>
        <v>1.8535256452762897E-2</v>
      </c>
      <c r="S75" s="146">
        <f t="shared" si="3"/>
        <v>0.83387570273925649</v>
      </c>
      <c r="T75" s="145">
        <f>+IF(S75&gt;$B$13,VLOOKUP(P75,'$ alcantarillado'!$I$6:$N$22,5),P75)</f>
        <v>8</v>
      </c>
      <c r="U75" s="113">
        <f>IF(O75&gt;0,VLOOKUP(T75,'$ alcantarillado'!$I$5:$L$22,4),"0")</f>
        <v>0.182</v>
      </c>
      <c r="V75" s="113">
        <f t="shared" si="4"/>
        <v>1.8535256452762897E-2</v>
      </c>
      <c r="W75" s="146">
        <f t="shared" si="104"/>
        <v>0.83387570273925649</v>
      </c>
      <c r="X75" s="146">
        <f t="shared" si="149"/>
        <v>0.71246894962762097</v>
      </c>
      <c r="Y75" s="113">
        <f>IF(T75&gt;0,(VLOOKUP($W75,Relaciones!$A$4:$D$108,2)),"")</f>
        <v>0.99299999999999999</v>
      </c>
      <c r="Z75" s="146">
        <f t="shared" si="150"/>
        <v>0.70748166698022763</v>
      </c>
      <c r="AA75" s="146">
        <f t="shared" si="151"/>
        <v>0.14218749999999999</v>
      </c>
      <c r="AB75" s="147" t="str">
        <f t="shared" si="152"/>
        <v>OK</v>
      </c>
      <c r="AC75" s="147" t="str">
        <f t="shared" si="153"/>
        <v>OK</v>
      </c>
      <c r="AD75" s="147" t="str">
        <f t="shared" si="154"/>
        <v>No Cumple</v>
      </c>
      <c r="AE75" s="148">
        <f t="shared" si="155"/>
        <v>1</v>
      </c>
      <c r="AF75" s="148">
        <f t="shared" si="155"/>
        <v>1</v>
      </c>
      <c r="AG75" s="148">
        <f t="shared" si="155"/>
        <v>0</v>
      </c>
      <c r="AH75" s="148">
        <f t="shared" si="156"/>
        <v>2</v>
      </c>
      <c r="AI75" s="147">
        <f t="shared" si="157"/>
        <v>0</v>
      </c>
      <c r="AJ75" s="149">
        <f>IF(AI75&gt;0,I75*VLOOKUP(T75,'$ alcantarillado'!$I$6:$K$22,3),0)</f>
        <v>0</v>
      </c>
      <c r="AK75" s="149">
        <f t="shared" si="146"/>
        <v>0</v>
      </c>
      <c r="AL75" s="149">
        <f t="shared" si="147"/>
        <v>0</v>
      </c>
      <c r="AM75" s="149">
        <f t="shared" si="22"/>
        <v>0</v>
      </c>
      <c r="AN75" s="180">
        <f>IF(AP58&gt;0,IF(AP186&gt;0,AP58+AP186,0),0)</f>
        <v>23323505.804000024</v>
      </c>
      <c r="AO75" s="150" t="str">
        <f t="shared" si="87"/>
        <v/>
      </c>
      <c r="AP75" s="227"/>
      <c r="AQ75" s="142"/>
      <c r="AR75" s="165"/>
    </row>
    <row r="76" spans="1:44" x14ac:dyDescent="0.25">
      <c r="A76" s="230"/>
      <c r="B76" s="230"/>
      <c r="C76" s="230"/>
      <c r="D76" s="230"/>
      <c r="E76" s="151">
        <v>4</v>
      </c>
      <c r="F76" s="190">
        <f>IF(H63&lt;H191,H63,H191)</f>
        <v>46.765000000000001</v>
      </c>
      <c r="G76" s="151">
        <v>1</v>
      </c>
      <c r="H76" s="142">
        <f t="shared" si="158"/>
        <v>46.64</v>
      </c>
      <c r="I76" s="142">
        <f t="shared" si="159"/>
        <v>80</v>
      </c>
      <c r="J76" s="143">
        <f>+(F76-H76)/I76</f>
        <v>1.5625000000000001E-3</v>
      </c>
      <c r="K76" s="142">
        <f t="shared" si="160"/>
        <v>1264</v>
      </c>
      <c r="L76" s="128">
        <f t="shared" si="10"/>
        <v>15.456099999999999</v>
      </c>
      <c r="M76" s="144">
        <f t="shared" si="148"/>
        <v>1.5456099999999999E-2</v>
      </c>
      <c r="N76" s="144">
        <f t="shared" si="0"/>
        <v>0.19360987610428701</v>
      </c>
      <c r="O76" s="144">
        <f t="shared" si="1"/>
        <v>7.6224360670979143</v>
      </c>
      <c r="P76" s="145">
        <f t="shared" si="12"/>
        <v>8</v>
      </c>
      <c r="Q76" s="113">
        <f>IF(O76&gt;0,VLOOKUP(P76,'$ alcantarillado'!$I$5:$L$22,4,FALSE),"0")</f>
        <v>0.182</v>
      </c>
      <c r="R76" s="113">
        <f t="shared" si="2"/>
        <v>1.3106405528780356E-2</v>
      </c>
      <c r="S76" s="146">
        <f t="shared" si="3"/>
        <v>1.1792783281472521</v>
      </c>
      <c r="T76" s="145">
        <f>+IF(S76&gt;$B$13,VLOOKUP(P76,'$ alcantarillado'!$I$6:$N$22,5),P76)</f>
        <v>10</v>
      </c>
      <c r="U76" s="113">
        <f>IF(O76&gt;0,VLOOKUP(T76,'$ alcantarillado'!$I$5:$L$22,4),"0")</f>
        <v>0.22700000000000001</v>
      </c>
      <c r="V76" s="113">
        <f t="shared" si="4"/>
        <v>2.3624476083504924E-2</v>
      </c>
      <c r="W76" s="146">
        <f t="shared" si="104"/>
        <v>0.65424096370931817</v>
      </c>
      <c r="X76" s="146">
        <f t="shared" si="149"/>
        <v>0.5837415275508655</v>
      </c>
      <c r="Y76" s="113">
        <f>IF(T76&gt;0,(VLOOKUP($W76,Relaciones!$A$4:$D$108,2)),"")</f>
        <v>0.92200000000000004</v>
      </c>
      <c r="Z76" s="146">
        <f t="shared" si="150"/>
        <v>0.53820968840189798</v>
      </c>
      <c r="AA76" s="146">
        <f t="shared" si="151"/>
        <v>8.8671875000000011E-2</v>
      </c>
      <c r="AB76" s="147" t="str">
        <f t="shared" si="152"/>
        <v>OK</v>
      </c>
      <c r="AC76" s="147" t="str">
        <f t="shared" si="153"/>
        <v>OK</v>
      </c>
      <c r="AD76" s="147" t="str">
        <f t="shared" si="154"/>
        <v>No Cumple</v>
      </c>
      <c r="AE76" s="148">
        <f t="shared" si="155"/>
        <v>1</v>
      </c>
      <c r="AF76" s="148">
        <f t="shared" si="155"/>
        <v>1</v>
      </c>
      <c r="AG76" s="148">
        <f t="shared" si="155"/>
        <v>0</v>
      </c>
      <c r="AH76" s="148">
        <f t="shared" si="156"/>
        <v>2</v>
      </c>
      <c r="AI76" s="147">
        <f t="shared" si="157"/>
        <v>0</v>
      </c>
      <c r="AJ76" s="149">
        <f>IF(AI76&gt;0,I76*VLOOKUP(T76,'$ alcantarillado'!$I$6:$K$22,3),0)</f>
        <v>0</v>
      </c>
      <c r="AK76" s="149">
        <f t="shared" si="146"/>
        <v>0</v>
      </c>
      <c r="AL76" s="149">
        <f t="shared" si="147"/>
        <v>0</v>
      </c>
      <c r="AM76" s="149">
        <f t="shared" si="22"/>
        <v>0</v>
      </c>
      <c r="AN76" s="180">
        <f>IF(AP63&gt;0,IF(AP191&gt;0,AP63+AP191,0),0)</f>
        <v>23442935.804000027</v>
      </c>
      <c r="AO76" s="150" t="str">
        <f t="shared" si="87"/>
        <v/>
      </c>
      <c r="AP76" s="227"/>
      <c r="AQ76" s="142"/>
      <c r="AR76" s="165"/>
    </row>
    <row r="77" spans="1:44" ht="15.75" thickBot="1" x14ac:dyDescent="0.3">
      <c r="A77" s="230"/>
      <c r="B77" s="230"/>
      <c r="C77" s="230"/>
      <c r="D77" s="230"/>
      <c r="E77" s="152">
        <v>5</v>
      </c>
      <c r="F77" s="191">
        <f>IF(H68&lt;H196,H68,H196)</f>
        <v>46.64</v>
      </c>
      <c r="G77" s="152">
        <v>1</v>
      </c>
      <c r="H77" s="154">
        <f>+H76</f>
        <v>46.64</v>
      </c>
      <c r="I77" s="154">
        <f>+I76</f>
        <v>80</v>
      </c>
      <c r="J77" s="155">
        <f t="shared" si="9"/>
        <v>0</v>
      </c>
      <c r="K77" s="154">
        <f>+K76</f>
        <v>1264</v>
      </c>
      <c r="L77" s="153">
        <f t="shared" si="10"/>
        <v>15.456099999999999</v>
      </c>
      <c r="M77" s="156">
        <f t="shared" si="148"/>
        <v>1.5456099999999999E-2</v>
      </c>
      <c r="N77" s="156">
        <f t="shared" si="0"/>
        <v>0</v>
      </c>
      <c r="O77" s="156">
        <f t="shared" si="1"/>
        <v>0</v>
      </c>
      <c r="P77" s="157">
        <f t="shared" si="12"/>
        <v>0</v>
      </c>
      <c r="Q77" s="113" t="str">
        <f>IF(O77&gt;0,VLOOKUP(P77,'$ alcantarillado'!$I$5:$L$22,4,FALSE),"0")</f>
        <v>0</v>
      </c>
      <c r="R77" s="113" t="str">
        <f t="shared" si="2"/>
        <v/>
      </c>
      <c r="S77" s="146">
        <f t="shared" si="3"/>
        <v>0</v>
      </c>
      <c r="T77" s="145">
        <f>+IF(S77&gt;$B$13,VLOOKUP(P77,'$ alcantarillado'!$I$6:$N$22,5),P77)</f>
        <v>0</v>
      </c>
      <c r="U77" s="113" t="str">
        <f>IF(O77&gt;0,VLOOKUP(T77,'$ alcantarillado'!$I$5:$L$22,4),"0")</f>
        <v>0</v>
      </c>
      <c r="V77" s="113" t="str">
        <f t="shared" si="4"/>
        <v/>
      </c>
      <c r="W77" s="146">
        <f t="shared" si="104"/>
        <v>0</v>
      </c>
      <c r="X77" s="146" t="str">
        <f t="shared" si="149"/>
        <v/>
      </c>
      <c r="Y77" s="113" t="str">
        <f>IF(T77&gt;0,(VLOOKUP($W77,Relaciones!$A$4:$D$108,2)),"")</f>
        <v/>
      </c>
      <c r="Z77" s="146" t="str">
        <f t="shared" si="150"/>
        <v/>
      </c>
      <c r="AA77" s="146" t="str">
        <f t="shared" si="151"/>
        <v/>
      </c>
      <c r="AB77" s="147" t="str">
        <f t="shared" si="152"/>
        <v/>
      </c>
      <c r="AC77" s="147" t="str">
        <f t="shared" si="153"/>
        <v/>
      </c>
      <c r="AD77" s="147" t="str">
        <f t="shared" si="154"/>
        <v/>
      </c>
      <c r="AE77" s="148">
        <f t="shared" si="155"/>
        <v>0</v>
      </c>
      <c r="AF77" s="148">
        <f t="shared" si="155"/>
        <v>0</v>
      </c>
      <c r="AG77" s="148">
        <f t="shared" si="155"/>
        <v>0</v>
      </c>
      <c r="AH77" s="148">
        <f t="shared" si="156"/>
        <v>0</v>
      </c>
      <c r="AI77" s="147">
        <f t="shared" si="157"/>
        <v>0</v>
      </c>
      <c r="AJ77" s="158">
        <f>IF(AI77&gt;0,I77*VLOOKUP(T77,'$ alcantarillado'!$I$6:$K$22,3),0)</f>
        <v>0</v>
      </c>
      <c r="AK77" s="149">
        <f t="shared" si="146"/>
        <v>0</v>
      </c>
      <c r="AL77" s="149">
        <f t="shared" si="147"/>
        <v>0</v>
      </c>
      <c r="AM77" s="158">
        <f t="shared" si="22"/>
        <v>0</v>
      </c>
      <c r="AN77" s="181">
        <f>IF(AP68&gt;0,IF(AP196&gt;0,AP68+AP196,0),0)</f>
        <v>22572189.33366669</v>
      </c>
      <c r="AO77" s="159" t="str">
        <f t="shared" si="87"/>
        <v/>
      </c>
      <c r="AP77" s="228"/>
      <c r="AQ77" s="154"/>
      <c r="AR77" s="166"/>
    </row>
    <row r="78" spans="1:44" x14ac:dyDescent="0.25">
      <c r="A78" s="230"/>
      <c r="B78" s="230"/>
      <c r="C78" s="230"/>
      <c r="D78" s="230"/>
      <c r="E78" s="127">
        <v>1</v>
      </c>
      <c r="F78" s="189">
        <f>IF(H49&lt;H177,H49,H177)</f>
        <v>47.14</v>
      </c>
      <c r="G78" s="127">
        <v>2</v>
      </c>
      <c r="H78" s="146">
        <f>+H83+$B$15</f>
        <v>46.515000000000001</v>
      </c>
      <c r="I78" s="142">
        <f>+I77</f>
        <v>80</v>
      </c>
      <c r="J78" s="143">
        <f>+(F78-H78)/I78</f>
        <v>7.8125E-3</v>
      </c>
      <c r="K78" s="142">
        <f>+K77</f>
        <v>1264</v>
      </c>
      <c r="L78" s="132">
        <f>IF(K78&lt;38,K78^0.3686*0.7401,IF(K78&lt;235,K78^0.4193*0.6215,IF(K78&lt;932,K78*0.0092+4.2493,K78*0.0069+6.7345)))</f>
        <v>15.456099999999999</v>
      </c>
      <c r="M78" s="133">
        <f>+L78/1000</f>
        <v>1.5456099999999999E-2</v>
      </c>
      <c r="N78" s="133">
        <f t="shared" si="0"/>
        <v>0.1431761338954268</v>
      </c>
      <c r="O78" s="133">
        <f t="shared" si="1"/>
        <v>5.6368556651742834</v>
      </c>
      <c r="P78" s="134">
        <f t="shared" si="12"/>
        <v>6</v>
      </c>
      <c r="Q78" s="135">
        <f>IF(O78&gt;0,VLOOKUP(P78,'$ alcantarillado'!$I$5:$L$22,4,FALSE),"0")</f>
        <v>0.14499999999999999</v>
      </c>
      <c r="R78" s="135">
        <f t="shared" si="2"/>
        <v>1.5986727597372376E-2</v>
      </c>
      <c r="S78" s="136">
        <f t="shared" si="3"/>
        <v>0.96680824176552593</v>
      </c>
      <c r="T78" s="134">
        <f>+IF(S78&gt;$B$13,VLOOKUP(P78,'$ alcantarillado'!$I$6:$N$22,5),P78)</f>
        <v>8</v>
      </c>
      <c r="U78" s="135">
        <f>IF(O78&gt;0,VLOOKUP(T78,'$ alcantarillado'!$I$5:$L$22,4),"0")</f>
        <v>0.182</v>
      </c>
      <c r="V78" s="135">
        <f t="shared" si="4"/>
        <v>2.9306813703031953E-2</v>
      </c>
      <c r="W78" s="136">
        <f t="shared" si="104"/>
        <v>0.52738930122591177</v>
      </c>
      <c r="X78" s="136">
        <f>IF(T78&gt;0,4*V78/(PI()*(U78)^2),"")</f>
        <v>1.1265123214855279</v>
      </c>
      <c r="Y78" s="135">
        <f>IF(T78&gt;0,(VLOOKUP($W78,Relaciones!$A$4:$D$108,2)),"")</f>
        <v>0.86</v>
      </c>
      <c r="Z78" s="136">
        <f>IF(T78&gt;0,Y78*X78,"")</f>
        <v>0.96880059647755401</v>
      </c>
      <c r="AA78" s="136">
        <f>IF(T78&gt;0,250*U78*J78,"")</f>
        <v>0.35546875</v>
      </c>
      <c r="AB78" s="137" t="str">
        <f>IF(T78&gt;0,IF(W78&lt;=$B$13,"OK","No Cumple"),"")</f>
        <v>OK</v>
      </c>
      <c r="AC78" s="137" t="str">
        <f>IF(T78&gt;0,IF(Z78&gt;=$B$12,"OK","No Cumple"),"")</f>
        <v>OK</v>
      </c>
      <c r="AD78" s="137" t="str">
        <f>IF(T78&gt;0,IF(AA78&gt;$B$14,"OK","No Cumple"),"")</f>
        <v>OK</v>
      </c>
      <c r="AE78" s="138">
        <f>+IF(AB78="OK",1,0)</f>
        <v>1</v>
      </c>
      <c r="AF78" s="138">
        <f>+IF(AC78="OK",1,0)</f>
        <v>1</v>
      </c>
      <c r="AG78" s="138">
        <f>+IF(AD78="OK",1,0)</f>
        <v>1</v>
      </c>
      <c r="AH78" s="138">
        <f>SUM(AE78:AG78)</f>
        <v>3</v>
      </c>
      <c r="AI78" s="137">
        <f>IF(AH78=3,2*$B$7+U78,0)</f>
        <v>0.68199999999999994</v>
      </c>
      <c r="AJ78" s="139">
        <f>IF(AI78&gt;0,I78*VLOOKUP(T78,'$ alcantarillado'!$I$6:$K$22,3),0)</f>
        <v>2654586.666666667</v>
      </c>
      <c r="AK78" s="139">
        <f t="shared" si="146"/>
        <v>3447591.8400000036</v>
      </c>
      <c r="AL78" s="139">
        <f t="shared" si="147"/>
        <v>1488095.4920000019</v>
      </c>
      <c r="AM78" s="139">
        <f>IF(AJ78&gt;0,AJ78+AK78+AL78,0)</f>
        <v>7590273.998666672</v>
      </c>
      <c r="AN78" s="179">
        <f>IF(AP48&gt;0,IF(AP176&gt;0,AP48+AP176,0),0)</f>
        <v>0</v>
      </c>
      <c r="AO78" s="140" t="str">
        <f>IF((AM78)&gt;0,IF(AN78&gt;0,AM78+AN78,""),"")</f>
        <v/>
      </c>
      <c r="AP78" s="232">
        <f>+MIN(AO78:AO82)</f>
        <v>31004357.427666694</v>
      </c>
      <c r="AQ78" s="142"/>
      <c r="AR78" s="165"/>
    </row>
    <row r="79" spans="1:44" x14ac:dyDescent="0.25">
      <c r="A79" s="230"/>
      <c r="B79" s="230"/>
      <c r="C79" s="230"/>
      <c r="D79" s="230"/>
      <c r="E79" s="141">
        <v>2</v>
      </c>
      <c r="F79" s="190">
        <f>IF(H54&lt;H182,H54,H182)</f>
        <v>47.015000000000001</v>
      </c>
      <c r="G79" s="141">
        <v>2</v>
      </c>
      <c r="H79" s="146">
        <f>+H78</f>
        <v>46.515000000000001</v>
      </c>
      <c r="I79" s="142">
        <f>+I78</f>
        <v>80</v>
      </c>
      <c r="J79" s="143">
        <f t="shared" si="9"/>
        <v>6.2500000000000003E-3</v>
      </c>
      <c r="K79" s="142">
        <f>+K78</f>
        <v>1264</v>
      </c>
      <c r="L79" s="128">
        <f t="shared" si="10"/>
        <v>15.456099999999999</v>
      </c>
      <c r="M79" s="144">
        <f t="shared" ref="M79:M82" si="161">+L79/1000</f>
        <v>1.5456099999999999E-2</v>
      </c>
      <c r="N79" s="144">
        <f t="shared" si="0"/>
        <v>0.14929362341696081</v>
      </c>
      <c r="O79" s="144">
        <f t="shared" si="1"/>
        <v>5.8777017093291661</v>
      </c>
      <c r="P79" s="145">
        <f t="shared" si="12"/>
        <v>6</v>
      </c>
      <c r="Q79" s="113">
        <f>IF(O79&gt;0,VLOOKUP(P79,'$ alcantarillado'!$I$5:$L$22,4,FALSE),"0")</f>
        <v>0.14499999999999999</v>
      </c>
      <c r="R79" s="113">
        <f t="shared" si="2"/>
        <v>1.4298963858198607E-2</v>
      </c>
      <c r="S79" s="146">
        <f t="shared" si="3"/>
        <v>1.0809244748973839</v>
      </c>
      <c r="T79" s="145">
        <f>+IF(S79&gt;$B$13,VLOOKUP(P79,'$ alcantarillado'!$I$6:$N$22,5),P79)</f>
        <v>8</v>
      </c>
      <c r="U79" s="113">
        <f>IF(O79&gt;0,VLOOKUP(T79,'$ alcantarillado'!$I$5:$L$22,4),"0")</f>
        <v>0.182</v>
      </c>
      <c r="V79" s="113">
        <f t="shared" si="4"/>
        <v>2.6212811057560712E-2</v>
      </c>
      <c r="W79" s="146">
        <f t="shared" si="104"/>
        <v>0.58963916407362604</v>
      </c>
      <c r="X79" s="146">
        <f t="shared" ref="X79:X82" si="162">IF(T79&gt;0,4*V79/(PI()*(U79)^2),"")</f>
        <v>1.0075832513330949</v>
      </c>
      <c r="Y79" s="113">
        <f>IF(T79&gt;0,(VLOOKUP($W79,Relaciones!$A$4:$D$108,2)),"")</f>
        <v>0.89</v>
      </c>
      <c r="Z79" s="146">
        <f t="shared" ref="Z79:Z82" si="163">IF(T79&gt;0,Y79*X79,"")</f>
        <v>0.8967490936864545</v>
      </c>
      <c r="AA79" s="146">
        <f t="shared" ref="AA79:AA82" si="164">IF(T79&gt;0,250*U79*J79,"")</f>
        <v>0.28437499999999999</v>
      </c>
      <c r="AB79" s="147" t="str">
        <f t="shared" ref="AB79:AB82" si="165">IF(T79&gt;0,IF(W79&lt;=$B$13,"OK","No Cumple"),"")</f>
        <v>OK</v>
      </c>
      <c r="AC79" s="147" t="str">
        <f t="shared" ref="AC79:AC82" si="166">IF(T79&gt;0,IF(Z79&gt;=$B$12,"OK","No Cumple"),"")</f>
        <v>OK</v>
      </c>
      <c r="AD79" s="147" t="str">
        <f t="shared" ref="AD79:AD82" si="167">IF(T79&gt;0,IF(AA79&gt;$B$14,"OK","No Cumple"),"")</f>
        <v>OK</v>
      </c>
      <c r="AE79" s="148">
        <f t="shared" ref="AE79:AG82" si="168">+IF(AB79="OK",1,0)</f>
        <v>1</v>
      </c>
      <c r="AF79" s="148">
        <f t="shared" si="168"/>
        <v>1</v>
      </c>
      <c r="AG79" s="148">
        <f t="shared" si="168"/>
        <v>1</v>
      </c>
      <c r="AH79" s="148">
        <f t="shared" ref="AH79:AH82" si="169">SUM(AE79:AG79)</f>
        <v>3</v>
      </c>
      <c r="AI79" s="147">
        <f t="shared" ref="AI79:AI82" si="170">IF(AH79=3,2*$B$7+U79,0)</f>
        <v>0.68199999999999994</v>
      </c>
      <c r="AJ79" s="149">
        <f>IF(AI79&gt;0,I79*VLOOKUP(T79,'$ alcantarillado'!$I$6:$K$22,3),0)</f>
        <v>2654586.666666667</v>
      </c>
      <c r="AK79" s="149">
        <f t="shared" si="146"/>
        <v>3570351.8400000036</v>
      </c>
      <c r="AL79" s="149">
        <f t="shared" si="147"/>
        <v>1575343.1170000019</v>
      </c>
      <c r="AM79" s="149">
        <f t="shared" si="22"/>
        <v>7800281.623666672</v>
      </c>
      <c r="AN79" s="180">
        <f>IF(AP53&gt;0,IF(AP181&gt;0,AP53+AP181,0),0)</f>
        <v>23204075.804000024</v>
      </c>
      <c r="AO79" s="150">
        <f t="shared" si="87"/>
        <v>31004357.427666694</v>
      </c>
      <c r="AP79" s="218"/>
      <c r="AQ79" s="142">
        <v>2</v>
      </c>
      <c r="AR79" s="165">
        <v>2</v>
      </c>
    </row>
    <row r="80" spans="1:44" x14ac:dyDescent="0.25">
      <c r="A80" s="230"/>
      <c r="B80" s="230"/>
      <c r="C80" s="230"/>
      <c r="D80" s="230"/>
      <c r="E80" s="151">
        <v>3</v>
      </c>
      <c r="F80" s="190">
        <f>IF(H59&lt;H187,H59,H187)</f>
        <v>46.89</v>
      </c>
      <c r="G80" s="151">
        <v>2</v>
      </c>
      <c r="H80" s="146">
        <f t="shared" ref="H80:H81" si="171">+H79</f>
        <v>46.515000000000001</v>
      </c>
      <c r="I80" s="142">
        <f t="shared" ref="I80:I81" si="172">+I79</f>
        <v>80</v>
      </c>
      <c r="J80" s="143">
        <f t="shared" si="9"/>
        <v>4.6874999999999998E-3</v>
      </c>
      <c r="K80" s="142">
        <f t="shared" ref="K80:K81" si="173">+K79</f>
        <v>1264</v>
      </c>
      <c r="L80" s="128">
        <f t="shared" si="10"/>
        <v>15.456099999999999</v>
      </c>
      <c r="M80" s="144">
        <f t="shared" si="161"/>
        <v>1.5456099999999999E-2</v>
      </c>
      <c r="N80" s="144">
        <f t="shared" si="0"/>
        <v>0.15756772760132909</v>
      </c>
      <c r="O80" s="144">
        <f t="shared" si="1"/>
        <v>6.2034538425720118</v>
      </c>
      <c r="P80" s="145">
        <f t="shared" si="12"/>
        <v>8</v>
      </c>
      <c r="Q80" s="113">
        <f>IF(O80&gt;0,VLOOKUP(P80,'$ alcantarillado'!$I$5:$L$22,4,FALSE),"0")</f>
        <v>0.182</v>
      </c>
      <c r="R80" s="113">
        <f t="shared" si="2"/>
        <v>2.2700960280449212E-2</v>
      </c>
      <c r="S80" s="146">
        <f t="shared" si="3"/>
        <v>0.68085666020530788</v>
      </c>
      <c r="T80" s="145">
        <f>+IF(S80&gt;$B$13,VLOOKUP(P80,'$ alcantarillado'!$I$6:$N$22,5),P80)</f>
        <v>8</v>
      </c>
      <c r="U80" s="113">
        <f>IF(O80&gt;0,VLOOKUP(T80,'$ alcantarillado'!$I$5:$L$22,4),"0")</f>
        <v>0.182</v>
      </c>
      <c r="V80" s="113">
        <f t="shared" si="4"/>
        <v>2.2700960280449212E-2</v>
      </c>
      <c r="W80" s="146">
        <f t="shared" si="104"/>
        <v>0.68085666020530788</v>
      </c>
      <c r="X80" s="146">
        <f t="shared" si="162"/>
        <v>0.87259269208218104</v>
      </c>
      <c r="Y80" s="113">
        <f>IF(T80&gt;0,(VLOOKUP($W80,Relaciones!$A$4:$D$108,2)),"")</f>
        <v>0.93600000000000005</v>
      </c>
      <c r="Z80" s="146">
        <f t="shared" si="163"/>
        <v>0.81674675978892153</v>
      </c>
      <c r="AA80" s="146">
        <f t="shared" si="164"/>
        <v>0.21328125000000001</v>
      </c>
      <c r="AB80" s="147" t="str">
        <f t="shared" si="165"/>
        <v>OK</v>
      </c>
      <c r="AC80" s="147" t="str">
        <f t="shared" si="166"/>
        <v>OK</v>
      </c>
      <c r="AD80" s="147" t="str">
        <f t="shared" si="167"/>
        <v>OK</v>
      </c>
      <c r="AE80" s="148">
        <f t="shared" si="168"/>
        <v>1</v>
      </c>
      <c r="AF80" s="148">
        <f t="shared" si="168"/>
        <v>1</v>
      </c>
      <c r="AG80" s="148">
        <f t="shared" si="168"/>
        <v>1</v>
      </c>
      <c r="AH80" s="148">
        <f t="shared" si="169"/>
        <v>3</v>
      </c>
      <c r="AI80" s="147">
        <f t="shared" si="170"/>
        <v>0.68199999999999994</v>
      </c>
      <c r="AJ80" s="149">
        <f>IF(AI80&gt;0,I80*VLOOKUP(T80,'$ alcantarillado'!$I$6:$K$22,3),0)</f>
        <v>2654586.666666667</v>
      </c>
      <c r="AK80" s="149">
        <f t="shared" si="146"/>
        <v>3693111.8400000036</v>
      </c>
      <c r="AL80" s="149">
        <f t="shared" si="147"/>
        <v>1662590.7420000019</v>
      </c>
      <c r="AM80" s="149">
        <f t="shared" si="22"/>
        <v>8010289.248666672</v>
      </c>
      <c r="AN80" s="180">
        <f>IF(AP58&gt;0,IF(AP186&gt;0,AP58+AP186,0),0)</f>
        <v>23323505.804000024</v>
      </c>
      <c r="AO80" s="150">
        <f>IF((AM80)&gt;0,IF(AN80&gt;0,AM80+AN80,""),"")</f>
        <v>31333795.052666694</v>
      </c>
      <c r="AP80" s="219"/>
      <c r="AQ80" s="142"/>
      <c r="AR80" s="165"/>
    </row>
    <row r="81" spans="1:44" x14ac:dyDescent="0.25">
      <c r="A81" s="230"/>
      <c r="B81" s="230"/>
      <c r="C81" s="230"/>
      <c r="D81" s="230"/>
      <c r="E81" s="151">
        <v>4</v>
      </c>
      <c r="F81" s="190">
        <f>IF(H64&lt;H192,H64,H192)</f>
        <v>46.765000000000001</v>
      </c>
      <c r="G81" s="151">
        <v>2</v>
      </c>
      <c r="H81" s="146">
        <f t="shared" si="171"/>
        <v>46.515000000000001</v>
      </c>
      <c r="I81" s="142">
        <f t="shared" si="172"/>
        <v>80</v>
      </c>
      <c r="J81" s="143">
        <f>+(F81-H81)/I81</f>
        <v>3.1250000000000002E-3</v>
      </c>
      <c r="K81" s="142">
        <f t="shared" si="173"/>
        <v>1264</v>
      </c>
      <c r="L81" s="128">
        <f t="shared" si="10"/>
        <v>15.456099999999999</v>
      </c>
      <c r="M81" s="144">
        <f t="shared" si="161"/>
        <v>1.5456099999999999E-2</v>
      </c>
      <c r="N81" s="144">
        <f t="shared" si="0"/>
        <v>0.17001388158888045</v>
      </c>
      <c r="O81" s="144">
        <f t="shared" si="1"/>
        <v>6.6934599050740333</v>
      </c>
      <c r="P81" s="145">
        <f t="shared" si="12"/>
        <v>8</v>
      </c>
      <c r="Q81" s="113">
        <f>IF(O81&gt;0,VLOOKUP(P81,'$ alcantarillado'!$I$5:$L$22,4,FALSE),"0")</f>
        <v>0.182</v>
      </c>
      <c r="R81" s="113">
        <f t="shared" si="2"/>
        <v>1.8535256452762897E-2</v>
      </c>
      <c r="S81" s="146">
        <f t="shared" si="3"/>
        <v>0.83387570273925649</v>
      </c>
      <c r="T81" s="145">
        <f>+IF(S81&gt;$B$13,VLOOKUP(P81,'$ alcantarillado'!$I$6:$N$22,5),P81)</f>
        <v>8</v>
      </c>
      <c r="U81" s="113">
        <f>IF(O81&gt;0,VLOOKUP(T81,'$ alcantarillado'!$I$5:$L$22,4),"0")</f>
        <v>0.182</v>
      </c>
      <c r="V81" s="113">
        <f t="shared" si="4"/>
        <v>1.8535256452762897E-2</v>
      </c>
      <c r="W81" s="146">
        <f t="shared" si="104"/>
        <v>0.83387570273925649</v>
      </c>
      <c r="X81" s="146">
        <f t="shared" si="162"/>
        <v>0.71246894962762097</v>
      </c>
      <c r="Y81" s="113">
        <f>IF(T81&gt;0,(VLOOKUP($W81,Relaciones!$A$4:$D$108,2)),"")</f>
        <v>0.99299999999999999</v>
      </c>
      <c r="Z81" s="146">
        <f t="shared" si="163"/>
        <v>0.70748166698022763</v>
      </c>
      <c r="AA81" s="146">
        <f t="shared" si="164"/>
        <v>0.14218749999999999</v>
      </c>
      <c r="AB81" s="147" t="str">
        <f t="shared" si="165"/>
        <v>OK</v>
      </c>
      <c r="AC81" s="147" t="str">
        <f t="shared" si="166"/>
        <v>OK</v>
      </c>
      <c r="AD81" s="147" t="str">
        <f t="shared" si="167"/>
        <v>No Cumple</v>
      </c>
      <c r="AE81" s="148">
        <f t="shared" si="168"/>
        <v>1</v>
      </c>
      <c r="AF81" s="148">
        <f t="shared" si="168"/>
        <v>1</v>
      </c>
      <c r="AG81" s="148">
        <f t="shared" si="168"/>
        <v>0</v>
      </c>
      <c r="AH81" s="148">
        <f t="shared" si="169"/>
        <v>2</v>
      </c>
      <c r="AI81" s="147">
        <f t="shared" si="170"/>
        <v>0</v>
      </c>
      <c r="AJ81" s="149">
        <f>IF(AI81&gt;0,I81*VLOOKUP(T81,'$ alcantarillado'!$I$6:$K$22,3),0)</f>
        <v>0</v>
      </c>
      <c r="AK81" s="149">
        <f t="shared" si="146"/>
        <v>0</v>
      </c>
      <c r="AL81" s="149">
        <f t="shared" si="147"/>
        <v>0</v>
      </c>
      <c r="AM81" s="149">
        <f t="shared" si="22"/>
        <v>0</v>
      </c>
      <c r="AN81" s="180">
        <f>IF(AP63&gt;0,IF(AP191&gt;0,AP63+AP191,0),0)</f>
        <v>23442935.804000027</v>
      </c>
      <c r="AO81" s="150" t="str">
        <f t="shared" si="87"/>
        <v/>
      </c>
      <c r="AP81" s="219"/>
      <c r="AQ81" s="142"/>
      <c r="AR81" s="165"/>
    </row>
    <row r="82" spans="1:44" ht="15.75" thickBot="1" x14ac:dyDescent="0.3">
      <c r="A82" s="230"/>
      <c r="B82" s="230"/>
      <c r="C82" s="230"/>
      <c r="D82" s="230"/>
      <c r="E82" s="152">
        <v>5</v>
      </c>
      <c r="F82" s="191">
        <f>IF(H69&lt;H197,H69,H197)</f>
        <v>46.64</v>
      </c>
      <c r="G82" s="152">
        <v>2</v>
      </c>
      <c r="H82" s="169">
        <f>+H81</f>
        <v>46.515000000000001</v>
      </c>
      <c r="I82" s="154">
        <f>+I81</f>
        <v>80</v>
      </c>
      <c r="J82" s="155">
        <f t="shared" si="9"/>
        <v>1.5625000000000001E-3</v>
      </c>
      <c r="K82" s="154">
        <f>+K81</f>
        <v>1264</v>
      </c>
      <c r="L82" s="153">
        <f t="shared" si="10"/>
        <v>15.456099999999999</v>
      </c>
      <c r="M82" s="156">
        <f t="shared" si="161"/>
        <v>1.5456099999999999E-2</v>
      </c>
      <c r="N82" s="156">
        <f t="shared" si="0"/>
        <v>0.19360987610428701</v>
      </c>
      <c r="O82" s="156">
        <f t="shared" si="1"/>
        <v>7.6224360670979143</v>
      </c>
      <c r="P82" s="157">
        <f t="shared" si="12"/>
        <v>8</v>
      </c>
      <c r="Q82" s="113">
        <f>IF(O82&gt;0,VLOOKUP(P82,'$ alcantarillado'!$I$5:$L$22,4,FALSE),"0")</f>
        <v>0.182</v>
      </c>
      <c r="R82" s="160">
        <f t="shared" si="2"/>
        <v>1.3106405528780356E-2</v>
      </c>
      <c r="S82" s="146">
        <f t="shared" si="3"/>
        <v>1.1792783281472521</v>
      </c>
      <c r="T82" s="145">
        <f>+IF(S82&gt;$B$13,VLOOKUP(P82,'$ alcantarillado'!$I$6:$N$22,5),P82)</f>
        <v>10</v>
      </c>
      <c r="U82" s="113">
        <f>IF(O82&gt;0,VLOOKUP(T82,'$ alcantarillado'!$I$5:$L$22,4),"0")</f>
        <v>0.22700000000000001</v>
      </c>
      <c r="V82" s="113">
        <f t="shared" si="4"/>
        <v>2.3624476083504924E-2</v>
      </c>
      <c r="W82" s="146">
        <f t="shared" si="104"/>
        <v>0.65424096370931817</v>
      </c>
      <c r="X82" s="146">
        <f t="shared" si="162"/>
        <v>0.5837415275508655</v>
      </c>
      <c r="Y82" s="113">
        <f>IF(T82&gt;0,(VLOOKUP($W82,Relaciones!$A$4:$D$108,2)),"")</f>
        <v>0.92200000000000004</v>
      </c>
      <c r="Z82" s="146">
        <f t="shared" si="163"/>
        <v>0.53820968840189798</v>
      </c>
      <c r="AA82" s="146">
        <f t="shared" si="164"/>
        <v>8.8671875000000011E-2</v>
      </c>
      <c r="AB82" s="147" t="str">
        <f t="shared" si="165"/>
        <v>OK</v>
      </c>
      <c r="AC82" s="147" t="str">
        <f t="shared" si="166"/>
        <v>OK</v>
      </c>
      <c r="AD82" s="147" t="str">
        <f t="shared" si="167"/>
        <v>No Cumple</v>
      </c>
      <c r="AE82" s="148">
        <f t="shared" si="168"/>
        <v>1</v>
      </c>
      <c r="AF82" s="148">
        <f t="shared" si="168"/>
        <v>1</v>
      </c>
      <c r="AG82" s="148">
        <f t="shared" si="168"/>
        <v>0</v>
      </c>
      <c r="AH82" s="148">
        <f t="shared" si="169"/>
        <v>2</v>
      </c>
      <c r="AI82" s="147">
        <f t="shared" si="170"/>
        <v>0</v>
      </c>
      <c r="AJ82" s="158">
        <f>IF(AI82&gt;0,I82*VLOOKUP(T82,'$ alcantarillado'!$I$6:$K$22,3),0)</f>
        <v>0</v>
      </c>
      <c r="AK82" s="149">
        <f t="shared" si="146"/>
        <v>0</v>
      </c>
      <c r="AL82" s="149">
        <f t="shared" si="147"/>
        <v>0</v>
      </c>
      <c r="AM82" s="158">
        <f t="shared" si="22"/>
        <v>0</v>
      </c>
      <c r="AN82" s="181">
        <f>IF(AP68&gt;0,IF(AP196&gt;0,AP68+AP196,0),0)</f>
        <v>22572189.33366669</v>
      </c>
      <c r="AO82" s="159" t="str">
        <f t="shared" si="87"/>
        <v/>
      </c>
      <c r="AP82" s="220"/>
      <c r="AQ82" s="154"/>
      <c r="AR82" s="166"/>
    </row>
    <row r="83" spans="1:44" x14ac:dyDescent="0.25">
      <c r="A83" s="230"/>
      <c r="B83" s="230"/>
      <c r="C83" s="230"/>
      <c r="D83" s="230"/>
      <c r="E83" s="127">
        <v>1</v>
      </c>
      <c r="F83" s="189">
        <f>IF(H50&lt;H178,H50,H178)</f>
        <v>47.14</v>
      </c>
      <c r="G83" s="127">
        <v>3</v>
      </c>
      <c r="H83" s="129">
        <f>+'LOGIKA AN-1'!H84</f>
        <v>46.39</v>
      </c>
      <c r="I83" s="129">
        <f t="shared" ref="I83" si="174">+I82</f>
        <v>80</v>
      </c>
      <c r="J83" s="143">
        <f>+(F83-H83)/I83</f>
        <v>9.3749999999999997E-3</v>
      </c>
      <c r="K83" s="129">
        <f t="shared" ref="K83" si="175">+K82</f>
        <v>1264</v>
      </c>
      <c r="L83" s="132">
        <f>IF(K83&lt;38,K83^0.3686*0.7401,IF(K83&lt;235,K83^0.4193*0.6215,IF(K83&lt;932,K83*0.0092+4.2493,K83*0.0069+6.7345)))</f>
        <v>15.456099999999999</v>
      </c>
      <c r="M83" s="133">
        <f>+L83/1000</f>
        <v>1.5456099999999999E-2</v>
      </c>
      <c r="N83" s="133">
        <f t="shared" si="0"/>
        <v>0.13836433100247289</v>
      </c>
      <c r="O83" s="133">
        <f t="shared" si="1"/>
        <v>5.4474146063965705</v>
      </c>
      <c r="P83" s="134">
        <f t="shared" si="12"/>
        <v>6</v>
      </c>
      <c r="Q83" s="135">
        <f>IF(O83&gt;0,VLOOKUP(P83,'$ alcantarillado'!$I$5:$L$22,4,FALSE),"0")</f>
        <v>0.14499999999999999</v>
      </c>
      <c r="R83" s="135">
        <f t="shared" si="2"/>
        <v>1.7512582651542437E-2</v>
      </c>
      <c r="S83" s="136">
        <f t="shared" si="3"/>
        <v>0.88257113799481135</v>
      </c>
      <c r="T83" s="134">
        <f>+IF(S83&gt;$B$13,VLOOKUP(P83,'$ alcantarillado'!$I$6:$N$22,5),P83)</f>
        <v>8</v>
      </c>
      <c r="U83" s="135">
        <f>IF(O83&gt;0,VLOOKUP(T83,'$ alcantarillado'!$I$5:$L$22,4),"0")</f>
        <v>0.182</v>
      </c>
      <c r="V83" s="135">
        <f t="shared" si="4"/>
        <v>3.2104005907504223E-2</v>
      </c>
      <c r="W83" s="136">
        <f t="shared" si="104"/>
        <v>0.48143836144719804</v>
      </c>
      <c r="X83" s="136">
        <f>IF(T83&gt;0,4*V83/(PI()*(U83)^2),"")</f>
        <v>1.2340324195702708</v>
      </c>
      <c r="Y83" s="135">
        <f>IF(T83&gt;0,(VLOOKUP($W83,Relaciones!$A$4:$D$108,2)),"")</f>
        <v>0.84</v>
      </c>
      <c r="Z83" s="136">
        <f>IF(T83&gt;0,Y83*X83,"")</f>
        <v>1.0365872324390275</v>
      </c>
      <c r="AA83" s="136">
        <f>IF(T83&gt;0,250*U83*J83,"")</f>
        <v>0.42656250000000001</v>
      </c>
      <c r="AB83" s="137" t="str">
        <f>IF(T83&gt;0,IF(W83&lt;=$B$13,"OK","No Cumple"),"")</f>
        <v>OK</v>
      </c>
      <c r="AC83" s="137" t="str">
        <f>IF(T83&gt;0,IF(Z83&gt;=$B$12,"OK","No Cumple"),"")</f>
        <v>OK</v>
      </c>
      <c r="AD83" s="137" t="str">
        <f>IF(T83&gt;0,IF(AA83&gt;$B$14,"OK","No Cumple"),"")</f>
        <v>OK</v>
      </c>
      <c r="AE83" s="138">
        <f>+IF(AB83="OK",1,0)</f>
        <v>1</v>
      </c>
      <c r="AF83" s="138">
        <f>+IF(AC83="OK",1,0)</f>
        <v>1</v>
      </c>
      <c r="AG83" s="138">
        <f>+IF(AD83="OK",1,0)</f>
        <v>1</v>
      </c>
      <c r="AH83" s="138">
        <f>SUM(AE83:AG83)</f>
        <v>3</v>
      </c>
      <c r="AI83" s="137">
        <f>IF(AH83=3,2*$B$7+U83,0)</f>
        <v>0.68199999999999994</v>
      </c>
      <c r="AJ83" s="139">
        <f>IF(AI83&gt;0,I83*VLOOKUP(T83,'$ alcantarillado'!$I$6:$K$22,3),0)</f>
        <v>2654586.666666667</v>
      </c>
      <c r="AK83" s="139">
        <f t="shared" si="146"/>
        <v>3508971.8400000031</v>
      </c>
      <c r="AL83" s="139">
        <f t="shared" si="147"/>
        <v>1488095.4920000019</v>
      </c>
      <c r="AM83" s="139">
        <f>IF(AJ83&gt;0,AJ83+AK83+AL83,0)</f>
        <v>7651653.998666672</v>
      </c>
      <c r="AN83" s="180">
        <f>IF(AP48&gt;0,IF(AP176&gt;0,AP48+AP176,0),0)</f>
        <v>0</v>
      </c>
      <c r="AO83" s="140" t="str">
        <f>IF((AM83)&gt;0,IF(AN83&gt;0,AM83+AN83,""),"")</f>
        <v/>
      </c>
      <c r="AP83" s="217">
        <f>+MIN(AO83:AO87)</f>
        <v>31065737.427666698</v>
      </c>
      <c r="AQ83" s="129"/>
      <c r="AR83" s="163"/>
    </row>
    <row r="84" spans="1:44" x14ac:dyDescent="0.25">
      <c r="A84" s="230"/>
      <c r="B84" s="230"/>
      <c r="C84" s="230"/>
      <c r="D84" s="230"/>
      <c r="E84" s="141">
        <v>2</v>
      </c>
      <c r="F84" s="190">
        <f>IF(H55&lt;H183,H55,H183)</f>
        <v>47.015000000000001</v>
      </c>
      <c r="G84" s="141">
        <v>3</v>
      </c>
      <c r="H84" s="142">
        <f>+H83</f>
        <v>46.39</v>
      </c>
      <c r="I84" s="142">
        <f>+I83</f>
        <v>80</v>
      </c>
      <c r="J84" s="143">
        <f t="shared" si="9"/>
        <v>7.8125E-3</v>
      </c>
      <c r="K84" s="142">
        <f>+K83</f>
        <v>1264</v>
      </c>
      <c r="L84" s="128">
        <f t="shared" si="10"/>
        <v>15.456099999999999</v>
      </c>
      <c r="M84" s="144">
        <f t="shared" ref="M84:M87" si="176">+L84/1000</f>
        <v>1.5456099999999999E-2</v>
      </c>
      <c r="N84" s="144">
        <f t="shared" si="0"/>
        <v>0.1431761338954268</v>
      </c>
      <c r="O84" s="144">
        <f t="shared" si="1"/>
        <v>5.6368556651742834</v>
      </c>
      <c r="P84" s="145">
        <f t="shared" si="12"/>
        <v>6</v>
      </c>
      <c r="Q84" s="113">
        <f>IF(O84&gt;0,VLOOKUP(P84,'$ alcantarillado'!$I$5:$L$22,4,FALSE),"0")</f>
        <v>0.14499999999999999</v>
      </c>
      <c r="R84" s="113">
        <f t="shared" si="2"/>
        <v>1.5986727597372376E-2</v>
      </c>
      <c r="S84" s="146">
        <f t="shared" si="3"/>
        <v>0.96680824176552593</v>
      </c>
      <c r="T84" s="145">
        <f>+IF(S84&gt;$B$13,VLOOKUP(P84,'$ alcantarillado'!$I$6:$N$22,5),P84)</f>
        <v>8</v>
      </c>
      <c r="U84" s="113">
        <f>IF(O84&gt;0,VLOOKUP(T84,'$ alcantarillado'!$I$5:$L$22,4),"0")</f>
        <v>0.182</v>
      </c>
      <c r="V84" s="113">
        <f t="shared" si="4"/>
        <v>2.9306813703031953E-2</v>
      </c>
      <c r="W84" s="146">
        <f t="shared" si="104"/>
        <v>0.52738930122591177</v>
      </c>
      <c r="X84" s="146">
        <f t="shared" ref="X84:X87" si="177">IF(T84&gt;0,4*V84/(PI()*(U84)^2),"")</f>
        <v>1.1265123214855279</v>
      </c>
      <c r="Y84" s="113">
        <f>IF(T84&gt;0,(VLOOKUP($W84,Relaciones!$A$4:$D$108,2)),"")</f>
        <v>0.86</v>
      </c>
      <c r="Z84" s="146">
        <f t="shared" ref="Z84:Z87" si="178">IF(T84&gt;0,Y84*X84,"")</f>
        <v>0.96880059647755401</v>
      </c>
      <c r="AA84" s="146">
        <f t="shared" ref="AA84:AA87" si="179">IF(T84&gt;0,250*U84*J84,"")</f>
        <v>0.35546875</v>
      </c>
      <c r="AB84" s="147" t="str">
        <f t="shared" ref="AB84:AB87" si="180">IF(T84&gt;0,IF(W84&lt;=$B$13,"OK","No Cumple"),"")</f>
        <v>OK</v>
      </c>
      <c r="AC84" s="147" t="str">
        <f t="shared" ref="AC84:AC87" si="181">IF(T84&gt;0,IF(Z84&gt;=$B$12,"OK","No Cumple"),"")</f>
        <v>OK</v>
      </c>
      <c r="AD84" s="147" t="str">
        <f t="shared" ref="AD84:AD87" si="182">IF(T84&gt;0,IF(AA84&gt;$B$14,"OK","No Cumple"),"")</f>
        <v>OK</v>
      </c>
      <c r="AE84" s="148">
        <f t="shared" ref="AE84:AG87" si="183">+IF(AB84="OK",1,0)</f>
        <v>1</v>
      </c>
      <c r="AF84" s="148">
        <f t="shared" si="183"/>
        <v>1</v>
      </c>
      <c r="AG84" s="148">
        <f t="shared" si="183"/>
        <v>1</v>
      </c>
      <c r="AH84" s="148">
        <f t="shared" ref="AH84:AH87" si="184">SUM(AE84:AG84)</f>
        <v>3</v>
      </c>
      <c r="AI84" s="147">
        <f t="shared" ref="AI84:AI87" si="185">IF(AH84=3,2*$B$7+U84,0)</f>
        <v>0.68199999999999994</v>
      </c>
      <c r="AJ84" s="149">
        <f>IF(AI84&gt;0,I84*VLOOKUP(T84,'$ alcantarillado'!$I$6:$K$22,3),0)</f>
        <v>2654586.666666667</v>
      </c>
      <c r="AK84" s="149">
        <f t="shared" si="146"/>
        <v>3631731.840000004</v>
      </c>
      <c r="AL84" s="149">
        <f t="shared" si="147"/>
        <v>1575343.1170000019</v>
      </c>
      <c r="AM84" s="149">
        <f t="shared" si="22"/>
        <v>7861661.6236666739</v>
      </c>
      <c r="AN84" s="180">
        <f>IF(AP53&gt;0,IF(AP181&gt;0,AP53+AP181,0),0)</f>
        <v>23204075.804000024</v>
      </c>
      <c r="AO84" s="150">
        <f t="shared" si="87"/>
        <v>31065737.427666698</v>
      </c>
      <c r="AP84" s="218"/>
      <c r="AQ84" s="142"/>
      <c r="AR84" s="165"/>
    </row>
    <row r="85" spans="1:44" x14ac:dyDescent="0.25">
      <c r="A85" s="230"/>
      <c r="B85" s="230"/>
      <c r="C85" s="230"/>
      <c r="D85" s="230"/>
      <c r="E85" s="151">
        <v>3</v>
      </c>
      <c r="F85" s="190">
        <f>IF(H60&lt;H188,H60,H188)</f>
        <v>46.89</v>
      </c>
      <c r="G85" s="151">
        <v>3</v>
      </c>
      <c r="H85" s="142">
        <f t="shared" ref="H85:H86" si="186">+H84</f>
        <v>46.39</v>
      </c>
      <c r="I85" s="142">
        <f t="shared" ref="I85:I86" si="187">+I84</f>
        <v>80</v>
      </c>
      <c r="J85" s="143">
        <f t="shared" si="9"/>
        <v>6.2500000000000003E-3</v>
      </c>
      <c r="K85" s="142">
        <f t="shared" ref="K85:K86" si="188">+K84</f>
        <v>1264</v>
      </c>
      <c r="L85" s="128">
        <f t="shared" si="10"/>
        <v>15.456099999999999</v>
      </c>
      <c r="M85" s="144">
        <f t="shared" si="176"/>
        <v>1.5456099999999999E-2</v>
      </c>
      <c r="N85" s="144">
        <f t="shared" si="0"/>
        <v>0.14929362341696081</v>
      </c>
      <c r="O85" s="144">
        <f t="shared" si="1"/>
        <v>5.8777017093291661</v>
      </c>
      <c r="P85" s="145">
        <f t="shared" si="12"/>
        <v>6</v>
      </c>
      <c r="Q85" s="113">
        <f>IF(O85&gt;0,VLOOKUP(P85,'$ alcantarillado'!$I$5:$L$22,4,FALSE),"0")</f>
        <v>0.14499999999999999</v>
      </c>
      <c r="R85" s="113">
        <f t="shared" si="2"/>
        <v>1.4298963858198607E-2</v>
      </c>
      <c r="S85" s="146">
        <f t="shared" si="3"/>
        <v>1.0809244748973839</v>
      </c>
      <c r="T85" s="145">
        <f>+IF(S85&gt;$B$13,VLOOKUP(P85,'$ alcantarillado'!$I$6:$N$22,5),P85)</f>
        <v>8</v>
      </c>
      <c r="U85" s="113">
        <f>IF(O85&gt;0,VLOOKUP(T85,'$ alcantarillado'!$I$5:$L$22,4),"0")</f>
        <v>0.182</v>
      </c>
      <c r="V85" s="113">
        <f t="shared" si="4"/>
        <v>2.6212811057560712E-2</v>
      </c>
      <c r="W85" s="146">
        <f t="shared" si="104"/>
        <v>0.58963916407362604</v>
      </c>
      <c r="X85" s="146">
        <f t="shared" si="177"/>
        <v>1.0075832513330949</v>
      </c>
      <c r="Y85" s="113">
        <f>IF(T85&gt;0,(VLOOKUP($W85,Relaciones!$A$4:$D$108,2)),"")</f>
        <v>0.89</v>
      </c>
      <c r="Z85" s="146">
        <f t="shared" si="178"/>
        <v>0.8967490936864545</v>
      </c>
      <c r="AA85" s="146">
        <f t="shared" si="179"/>
        <v>0.28437499999999999</v>
      </c>
      <c r="AB85" s="147" t="str">
        <f t="shared" si="180"/>
        <v>OK</v>
      </c>
      <c r="AC85" s="147" t="str">
        <f t="shared" si="181"/>
        <v>OK</v>
      </c>
      <c r="AD85" s="147" t="str">
        <f t="shared" si="182"/>
        <v>OK</v>
      </c>
      <c r="AE85" s="148">
        <f t="shared" si="183"/>
        <v>1</v>
      </c>
      <c r="AF85" s="148">
        <f t="shared" si="183"/>
        <v>1</v>
      </c>
      <c r="AG85" s="148">
        <f t="shared" si="183"/>
        <v>1</v>
      </c>
      <c r="AH85" s="148">
        <f t="shared" si="184"/>
        <v>3</v>
      </c>
      <c r="AI85" s="147">
        <f t="shared" si="185"/>
        <v>0.68199999999999994</v>
      </c>
      <c r="AJ85" s="149">
        <f>IF(AI85&gt;0,I85*VLOOKUP(T85,'$ alcantarillado'!$I$6:$K$22,3),0)</f>
        <v>2654586.666666667</v>
      </c>
      <c r="AK85" s="149">
        <f t="shared" si="146"/>
        <v>3754491.8400000036</v>
      </c>
      <c r="AL85" s="149">
        <f t="shared" si="147"/>
        <v>1662590.7420000019</v>
      </c>
      <c r="AM85" s="149">
        <f t="shared" si="22"/>
        <v>8071669.248666672</v>
      </c>
      <c r="AN85" s="180">
        <f>IF(AP58&gt;0,IF(AP186&gt;0,AP58+AP186,0),0)</f>
        <v>23323505.804000024</v>
      </c>
      <c r="AO85" s="150">
        <f t="shared" si="87"/>
        <v>31395175.052666694</v>
      </c>
      <c r="AP85" s="219"/>
      <c r="AQ85" s="142"/>
      <c r="AR85" s="165"/>
    </row>
    <row r="86" spans="1:44" x14ac:dyDescent="0.25">
      <c r="A86" s="230"/>
      <c r="B86" s="230"/>
      <c r="C86" s="230"/>
      <c r="D86" s="230"/>
      <c r="E86" s="151">
        <v>4</v>
      </c>
      <c r="F86" s="190">
        <f>IF(H65&lt;H193,H65,H193)</f>
        <v>46.765000000000001</v>
      </c>
      <c r="G86" s="151">
        <v>3</v>
      </c>
      <c r="H86" s="142">
        <f t="shared" si="186"/>
        <v>46.39</v>
      </c>
      <c r="I86" s="142">
        <f t="shared" si="187"/>
        <v>80</v>
      </c>
      <c r="J86" s="143">
        <f>+(F86-H86)/I86</f>
        <v>4.6874999999999998E-3</v>
      </c>
      <c r="K86" s="142">
        <f t="shared" si="188"/>
        <v>1264</v>
      </c>
      <c r="L86" s="128">
        <f t="shared" si="10"/>
        <v>15.456099999999999</v>
      </c>
      <c r="M86" s="144">
        <f t="shared" si="176"/>
        <v>1.5456099999999999E-2</v>
      </c>
      <c r="N86" s="144">
        <f t="shared" si="0"/>
        <v>0.15756772760132909</v>
      </c>
      <c r="O86" s="144">
        <f t="shared" si="1"/>
        <v>6.2034538425720118</v>
      </c>
      <c r="P86" s="145">
        <f t="shared" si="12"/>
        <v>8</v>
      </c>
      <c r="Q86" s="113">
        <f>IF(O86&gt;0,VLOOKUP(P86,'$ alcantarillado'!$I$5:$L$22,4,FALSE),"0")</f>
        <v>0.182</v>
      </c>
      <c r="R86" s="113">
        <f t="shared" si="2"/>
        <v>2.2700960280449212E-2</v>
      </c>
      <c r="S86" s="146">
        <f t="shared" si="3"/>
        <v>0.68085666020530788</v>
      </c>
      <c r="T86" s="145">
        <f>+IF(S86&gt;$B$13,VLOOKUP(P86,'$ alcantarillado'!$I$6:$N$22,5),P86)</f>
        <v>8</v>
      </c>
      <c r="U86" s="113">
        <f>IF(O86&gt;0,VLOOKUP(T86,'$ alcantarillado'!$I$5:$L$22,4),"0")</f>
        <v>0.182</v>
      </c>
      <c r="V86" s="113">
        <f t="shared" si="4"/>
        <v>2.2700960280449212E-2</v>
      </c>
      <c r="W86" s="146">
        <f t="shared" si="104"/>
        <v>0.68085666020530788</v>
      </c>
      <c r="X86" s="146">
        <f t="shared" si="177"/>
        <v>0.87259269208218104</v>
      </c>
      <c r="Y86" s="113">
        <f>IF(T86&gt;0,(VLOOKUP($W86,Relaciones!$A$4:$D$108,2)),"")</f>
        <v>0.93600000000000005</v>
      </c>
      <c r="Z86" s="146">
        <f t="shared" si="178"/>
        <v>0.81674675978892153</v>
      </c>
      <c r="AA86" s="146">
        <f t="shared" si="179"/>
        <v>0.21328125000000001</v>
      </c>
      <c r="AB86" s="147" t="str">
        <f t="shared" si="180"/>
        <v>OK</v>
      </c>
      <c r="AC86" s="147" t="str">
        <f t="shared" si="181"/>
        <v>OK</v>
      </c>
      <c r="AD86" s="147" t="str">
        <f t="shared" si="182"/>
        <v>OK</v>
      </c>
      <c r="AE86" s="148">
        <f t="shared" si="183"/>
        <v>1</v>
      </c>
      <c r="AF86" s="148">
        <f t="shared" si="183"/>
        <v>1</v>
      </c>
      <c r="AG86" s="148">
        <f t="shared" si="183"/>
        <v>1</v>
      </c>
      <c r="AH86" s="148">
        <f t="shared" si="184"/>
        <v>3</v>
      </c>
      <c r="AI86" s="147">
        <f t="shared" si="185"/>
        <v>0.68199999999999994</v>
      </c>
      <c r="AJ86" s="149">
        <f>IF(AI86&gt;0,I86*VLOOKUP(T86,'$ alcantarillado'!$I$6:$K$22,3),0)</f>
        <v>2654586.666666667</v>
      </c>
      <c r="AK86" s="149">
        <f t="shared" si="146"/>
        <v>3877251.8400000031</v>
      </c>
      <c r="AL86" s="149">
        <f t="shared" si="147"/>
        <v>1749838.3670000019</v>
      </c>
      <c r="AM86" s="149">
        <f t="shared" si="22"/>
        <v>8281676.873666672</v>
      </c>
      <c r="AN86" s="180">
        <f>IF(AP63&gt;0,IF(AP191&gt;0,AP63+AP191,0),0)</f>
        <v>23442935.804000027</v>
      </c>
      <c r="AO86" s="150">
        <f t="shared" si="87"/>
        <v>31724612.677666701</v>
      </c>
      <c r="AP86" s="219"/>
      <c r="AQ86" s="142">
        <v>2</v>
      </c>
      <c r="AR86" s="165">
        <v>3</v>
      </c>
    </row>
    <row r="87" spans="1:44" ht="15.75" thickBot="1" x14ac:dyDescent="0.3">
      <c r="A87" s="230"/>
      <c r="B87" s="230"/>
      <c r="C87" s="230"/>
      <c r="D87" s="230"/>
      <c r="E87" s="152">
        <v>5</v>
      </c>
      <c r="F87" s="191">
        <f>IF(H70&lt;H193,H70,H193)</f>
        <v>46.64</v>
      </c>
      <c r="G87" s="152">
        <v>3</v>
      </c>
      <c r="H87" s="154">
        <f>+H86</f>
        <v>46.39</v>
      </c>
      <c r="I87" s="154">
        <f>+I86</f>
        <v>80</v>
      </c>
      <c r="J87" s="155">
        <f t="shared" si="9"/>
        <v>3.1250000000000002E-3</v>
      </c>
      <c r="K87" s="154">
        <f>+K86</f>
        <v>1264</v>
      </c>
      <c r="L87" s="153">
        <f t="shared" si="10"/>
        <v>15.456099999999999</v>
      </c>
      <c r="M87" s="156">
        <f t="shared" si="176"/>
        <v>1.5456099999999999E-2</v>
      </c>
      <c r="N87" s="156">
        <f t="shared" ref="N87:N147" si="189">+IF(J87&gt;0,((M87*$B$2*(4^(5/3))/((J87^0.5)*PI()*$B$6))^(3/8)),0)</f>
        <v>0.17001388158888045</v>
      </c>
      <c r="O87" s="156">
        <f t="shared" ref="O87:O147" si="190">+N87*(100/2.54)</f>
        <v>6.6934599050740333</v>
      </c>
      <c r="P87" s="157">
        <f t="shared" si="12"/>
        <v>8</v>
      </c>
      <c r="Q87" s="113">
        <f>IF(O87&gt;0,VLOOKUP(P87,'$ alcantarillado'!$I$5:$L$22,4,FALSE),"0")</f>
        <v>0.182</v>
      </c>
      <c r="R87" s="160">
        <f t="shared" ref="R87:R147" si="191">IF(P87&gt;0,PI()*((Q87)^(8/3))*((J87)^0.5)/($B$2*4^(5/3)),"")</f>
        <v>1.8535256452762897E-2</v>
      </c>
      <c r="S87" s="146">
        <f t="shared" ref="S87:S147" si="192">IF(P87&gt;0,+M87/R87,0)</f>
        <v>0.83387570273925649</v>
      </c>
      <c r="T87" s="145">
        <f>+IF(S87&gt;$B$13,VLOOKUP(P87,'$ alcantarillado'!$I$6:$N$22,5),P87)</f>
        <v>8</v>
      </c>
      <c r="U87" s="113">
        <f>IF(O87&gt;0,VLOOKUP(T87,'$ alcantarillado'!$I$5:$L$22,4),"0")</f>
        <v>0.182</v>
      </c>
      <c r="V87" s="113">
        <f t="shared" ref="V87:V147" si="193">IF(T87&gt;0,PI()*((U87)^(8/3))*((J87)^0.5)/($B$2*4^(5/3)),"")</f>
        <v>1.8535256452762897E-2</v>
      </c>
      <c r="W87" s="146">
        <f t="shared" ref="W87:W118" si="194">IF(T87&gt;0,M87/V87,0)</f>
        <v>0.83387570273925649</v>
      </c>
      <c r="X87" s="146">
        <f t="shared" si="177"/>
        <v>0.71246894962762097</v>
      </c>
      <c r="Y87" s="113">
        <f>IF(T87&gt;0,(VLOOKUP($W87,Relaciones!$A$4:$D$108,2)),"")</f>
        <v>0.99299999999999999</v>
      </c>
      <c r="Z87" s="146">
        <f t="shared" si="178"/>
        <v>0.70748166698022763</v>
      </c>
      <c r="AA87" s="146">
        <f t="shared" si="179"/>
        <v>0.14218749999999999</v>
      </c>
      <c r="AB87" s="147" t="str">
        <f t="shared" si="180"/>
        <v>OK</v>
      </c>
      <c r="AC87" s="147" t="str">
        <f t="shared" si="181"/>
        <v>OK</v>
      </c>
      <c r="AD87" s="147" t="str">
        <f t="shared" si="182"/>
        <v>No Cumple</v>
      </c>
      <c r="AE87" s="148">
        <f t="shared" si="183"/>
        <v>1</v>
      </c>
      <c r="AF87" s="148">
        <f t="shared" si="183"/>
        <v>1</v>
      </c>
      <c r="AG87" s="148">
        <f t="shared" si="183"/>
        <v>0</v>
      </c>
      <c r="AH87" s="148">
        <f t="shared" si="184"/>
        <v>2</v>
      </c>
      <c r="AI87" s="147">
        <f t="shared" si="185"/>
        <v>0</v>
      </c>
      <c r="AJ87" s="158">
        <f>IF(AI87&gt;0,I87*VLOOKUP(T87,'$ alcantarillado'!$I$6:$K$22,3),0)</f>
        <v>0</v>
      </c>
      <c r="AK87" s="149">
        <f t="shared" si="146"/>
        <v>0</v>
      </c>
      <c r="AL87" s="149">
        <f t="shared" si="147"/>
        <v>0</v>
      </c>
      <c r="AM87" s="158">
        <f t="shared" si="22"/>
        <v>0</v>
      </c>
      <c r="AN87" s="180">
        <f>IF(AP68&gt;0,IF(AP196&gt;0,AP68+AP196,0),0)</f>
        <v>22572189.33366669</v>
      </c>
      <c r="AO87" s="159" t="str">
        <f t="shared" si="87"/>
        <v/>
      </c>
      <c r="AP87" s="220"/>
      <c r="AQ87" s="154"/>
      <c r="AR87" s="166"/>
    </row>
    <row r="88" spans="1:44" x14ac:dyDescent="0.25">
      <c r="A88" s="230"/>
      <c r="B88" s="230"/>
      <c r="C88" s="230"/>
      <c r="D88" s="230"/>
      <c r="E88" s="127">
        <v>1</v>
      </c>
      <c r="F88" s="189">
        <f>IF(H52&lt;H176,H52,H176)</f>
        <v>47.14</v>
      </c>
      <c r="G88" s="127">
        <v>4</v>
      </c>
      <c r="H88" s="132">
        <f>+H83-$B$15</f>
        <v>46.265000000000001</v>
      </c>
      <c r="I88" s="142">
        <f>+I83</f>
        <v>80</v>
      </c>
      <c r="J88" s="143">
        <f>+(F88-H88)/I88</f>
        <v>1.0937499999999999E-2</v>
      </c>
      <c r="K88" s="142">
        <f>+K83</f>
        <v>1264</v>
      </c>
      <c r="L88" s="132">
        <f>IF(K88&lt;38,K88^0.3686*0.7401,IF(K88&lt;235,K88^0.4193*0.6215,IF(K88&lt;932,K88*0.0092+4.2493,K88*0.0069+6.7345)))</f>
        <v>15.456099999999999</v>
      </c>
      <c r="M88" s="133">
        <f>+L88/1000</f>
        <v>1.5456099999999999E-2</v>
      </c>
      <c r="N88" s="133">
        <f t="shared" si="189"/>
        <v>0.13442239363650915</v>
      </c>
      <c r="O88" s="133">
        <f t="shared" si="190"/>
        <v>5.2922202219098091</v>
      </c>
      <c r="P88" s="134">
        <f t="shared" ref="P88:P147" si="195">IF(O88&lt;0.1,0,IF(O88&lt;4,6,EVEN(O88)))</f>
        <v>6</v>
      </c>
      <c r="Q88" s="135">
        <f>IF(O88&gt;0,VLOOKUP(P88,'$ alcantarillado'!$I$5:$L$22,4,FALSE),"0")</f>
        <v>0.14499999999999999</v>
      </c>
      <c r="R88" s="135">
        <f t="shared" si="191"/>
        <v>1.8915751187347084E-2</v>
      </c>
      <c r="S88" s="136">
        <f t="shared" si="192"/>
        <v>0.81710209903473052</v>
      </c>
      <c r="T88" s="134">
        <f>+IF(S88&gt;$B$13,VLOOKUP(P88,'$ alcantarillado'!$I$6:$N$22,5),P88)</f>
        <v>6</v>
      </c>
      <c r="U88" s="135">
        <f>IF(O88&gt;0,VLOOKUP(T88,'$ alcantarillado'!$I$5:$L$22,4),"0")</f>
        <v>0.14499999999999999</v>
      </c>
      <c r="V88" s="135">
        <f t="shared" si="193"/>
        <v>1.8915751187347084E-2</v>
      </c>
      <c r="W88" s="136">
        <f t="shared" si="194"/>
        <v>0.81710209903473052</v>
      </c>
      <c r="X88" s="136">
        <f>IF(T88&gt;0,4*V88/(PI()*(U88)^2),"")</f>
        <v>1.1455068932271779</v>
      </c>
      <c r="Y88" s="135">
        <f>IF(T88&gt;0,(VLOOKUP($W88,Relaciones!$A$4:$D$108,2)),"")</f>
        <v>0.98699999999999999</v>
      </c>
      <c r="Z88" s="136">
        <f>IF(T88&gt;0,Y88*X88,"")</f>
        <v>1.1306153036152247</v>
      </c>
      <c r="AA88" s="136">
        <f>IF(T88&gt;0,250*U88*J88,"")</f>
        <v>0.396484375</v>
      </c>
      <c r="AB88" s="137" t="str">
        <f>IF(T88&gt;0,IF(W88&lt;=$B$13,"OK","No Cumple"),"")</f>
        <v>OK</v>
      </c>
      <c r="AC88" s="137" t="str">
        <f>IF(T88&gt;0,IF(Z88&gt;=$B$12,"OK","No Cumple"),"")</f>
        <v>OK</v>
      </c>
      <c r="AD88" s="137" t="str">
        <f>IF(T88&gt;0,IF(AA88&gt;$B$14,"OK","No Cumple"),"")</f>
        <v>OK</v>
      </c>
      <c r="AE88" s="138">
        <f>+IF(AB88="OK",1,0)</f>
        <v>1</v>
      </c>
      <c r="AF88" s="138">
        <f>+IF(AC88="OK",1,0)</f>
        <v>1</v>
      </c>
      <c r="AG88" s="138">
        <f>+IF(AD88="OK",1,0)</f>
        <v>1</v>
      </c>
      <c r="AH88" s="138">
        <f>SUM(AE88:AG88)</f>
        <v>3</v>
      </c>
      <c r="AI88" s="137">
        <f>IF(AH88=3,2*$B$7+U88,0)</f>
        <v>0.64500000000000002</v>
      </c>
      <c r="AJ88" s="139">
        <f>IF(AI88&gt;0,I88*VLOOKUP(T88,'$ alcantarillado'!$I$6:$K$22,3),0)</f>
        <v>1912173.3333333335</v>
      </c>
      <c r="AK88" s="139">
        <f t="shared" si="146"/>
        <v>3325104.0000000042</v>
      </c>
      <c r="AL88" s="139">
        <f t="shared" si="147"/>
        <v>1462270.1950000019</v>
      </c>
      <c r="AM88" s="139">
        <f>IF(AJ88&gt;0,AJ88+AK88+AL88,0)</f>
        <v>6699547.5283333398</v>
      </c>
      <c r="AN88" s="179">
        <f>IF(AP48&gt;0,IF(AP176&gt;0,AP48+AP176,0),0)</f>
        <v>0</v>
      </c>
      <c r="AO88" s="140" t="str">
        <f>IF((AM88)&gt;0,IF(AN88&gt;0,AM88+AN88,""),"")</f>
        <v/>
      </c>
      <c r="AP88" s="217">
        <f>+MIN(AO88:AO92)</f>
        <v>31125253.832333364</v>
      </c>
      <c r="AQ88" s="129"/>
      <c r="AR88" s="163"/>
    </row>
    <row r="89" spans="1:44" x14ac:dyDescent="0.25">
      <c r="A89" s="230"/>
      <c r="B89" s="230"/>
      <c r="C89" s="230"/>
      <c r="D89" s="230"/>
      <c r="E89" s="141">
        <v>2</v>
      </c>
      <c r="F89" s="190">
        <f>IF(H55&lt;H181,H55,H181)</f>
        <v>47.015000000000001</v>
      </c>
      <c r="G89" s="141">
        <v>4</v>
      </c>
      <c r="H89" s="128">
        <f>+H88</f>
        <v>46.265000000000001</v>
      </c>
      <c r="I89" s="142">
        <f>+I88</f>
        <v>80</v>
      </c>
      <c r="J89" s="143">
        <f t="shared" ref="J89:J97" si="196">+(F89-H89)/I89</f>
        <v>9.3749999999999997E-3</v>
      </c>
      <c r="K89" s="142">
        <f>+K88</f>
        <v>1264</v>
      </c>
      <c r="L89" s="128">
        <f t="shared" ref="L89:L97" si="197">IF(K89&lt;38,K89^0.3686*0.7401,IF(K89&lt;235,K89^0.4193*0.6215,IF(K89&lt;932,K89*0.0092+4.2493,K89*0.0069+6.7345)))</f>
        <v>15.456099999999999</v>
      </c>
      <c r="M89" s="144">
        <f t="shared" ref="M89:M92" si="198">+L89/1000</f>
        <v>1.5456099999999999E-2</v>
      </c>
      <c r="N89" s="144">
        <f t="shared" si="189"/>
        <v>0.13836433100247289</v>
      </c>
      <c r="O89" s="144">
        <f t="shared" si="190"/>
        <v>5.4474146063965705</v>
      </c>
      <c r="P89" s="145">
        <f t="shared" si="195"/>
        <v>6</v>
      </c>
      <c r="Q89" s="113">
        <f>IF(O89&gt;0,VLOOKUP(P89,'$ alcantarillado'!$I$5:$L$22,4,FALSE),"0")</f>
        <v>0.14499999999999999</v>
      </c>
      <c r="R89" s="113">
        <f t="shared" si="191"/>
        <v>1.7512582651542437E-2</v>
      </c>
      <c r="S89" s="146">
        <f t="shared" si="192"/>
        <v>0.88257113799481135</v>
      </c>
      <c r="T89" s="145">
        <f>+IF(S89&gt;$B$13,VLOOKUP(P89,'$ alcantarillado'!$I$6:$N$22,5),P89)</f>
        <v>8</v>
      </c>
      <c r="U89" s="113">
        <f>IF(O89&gt;0,VLOOKUP(T89,'$ alcantarillado'!$I$5:$L$22,4),"0")</f>
        <v>0.182</v>
      </c>
      <c r="V89" s="113">
        <f t="shared" si="193"/>
        <v>3.2104005907504223E-2</v>
      </c>
      <c r="W89" s="146">
        <f t="shared" si="194"/>
        <v>0.48143836144719804</v>
      </c>
      <c r="X89" s="146">
        <f t="shared" ref="X89:X92" si="199">IF(T89&gt;0,4*V89/(PI()*(U89)^2),"")</f>
        <v>1.2340324195702708</v>
      </c>
      <c r="Y89" s="113">
        <f>IF(T89&gt;0,(VLOOKUP($W89,Relaciones!$A$4:$D$108,2)),"")</f>
        <v>0.84</v>
      </c>
      <c r="Z89" s="146">
        <f t="shared" ref="Z89:Z92" si="200">IF(T89&gt;0,Y89*X89,"")</f>
        <v>1.0365872324390275</v>
      </c>
      <c r="AA89" s="146">
        <f t="shared" ref="AA89:AA92" si="201">IF(T89&gt;0,250*U89*J89,"")</f>
        <v>0.42656250000000001</v>
      </c>
      <c r="AB89" s="147" t="str">
        <f t="shared" ref="AB89:AB92" si="202">IF(T89&gt;0,IF(W89&lt;=$B$13,"OK","No Cumple"),"")</f>
        <v>OK</v>
      </c>
      <c r="AC89" s="147" t="str">
        <f t="shared" ref="AC89:AC92" si="203">IF(T89&gt;0,IF(Z89&gt;=$B$12,"OK","No Cumple"),"")</f>
        <v>OK</v>
      </c>
      <c r="AD89" s="147" t="str">
        <f t="shared" ref="AD89:AD92" si="204">IF(T89&gt;0,IF(AA89&gt;$B$14,"OK","No Cumple"),"")</f>
        <v>OK</v>
      </c>
      <c r="AE89" s="148">
        <f t="shared" ref="AE89:AG92" si="205">+IF(AB89="OK",1,0)</f>
        <v>1</v>
      </c>
      <c r="AF89" s="148">
        <f t="shared" si="205"/>
        <v>1</v>
      </c>
      <c r="AG89" s="148">
        <f t="shared" si="205"/>
        <v>1</v>
      </c>
      <c r="AH89" s="148">
        <f t="shared" ref="AH89:AH92" si="206">SUM(AE89:AG89)</f>
        <v>3</v>
      </c>
      <c r="AI89" s="147">
        <f t="shared" ref="AI89:AI92" si="207">IF(AH89=3,2*$B$7+U89,0)</f>
        <v>0.68199999999999994</v>
      </c>
      <c r="AJ89" s="149">
        <f>IF(AI89&gt;0,I89*VLOOKUP(T89,'$ alcantarillado'!$I$6:$K$22,3),0)</f>
        <v>2654586.666666667</v>
      </c>
      <c r="AK89" s="149">
        <f t="shared" si="146"/>
        <v>3693111.8400000036</v>
      </c>
      <c r="AL89" s="149">
        <f t="shared" si="147"/>
        <v>1575343.1170000019</v>
      </c>
      <c r="AM89" s="149">
        <f t="shared" ref="AM89:AM97" si="208">IF(AJ89&gt;0,AJ89+AK89+AL89,0)</f>
        <v>7923041.623666672</v>
      </c>
      <c r="AN89" s="180">
        <f>IF(AP53&gt;0,IF(AP181&gt;0,AP53+AP181,0),0)</f>
        <v>23204075.804000024</v>
      </c>
      <c r="AO89" s="150">
        <f t="shared" si="87"/>
        <v>31127117.427666694</v>
      </c>
      <c r="AP89" s="218"/>
      <c r="AQ89" s="142"/>
      <c r="AR89" s="165"/>
    </row>
    <row r="90" spans="1:44" x14ac:dyDescent="0.25">
      <c r="A90" s="230"/>
      <c r="B90" s="230"/>
      <c r="C90" s="230"/>
      <c r="D90" s="230"/>
      <c r="E90" s="151">
        <v>3</v>
      </c>
      <c r="F90" s="190">
        <f>IF(H60&lt;H187,H60,H187)</f>
        <v>46.89</v>
      </c>
      <c r="G90" s="151">
        <v>4</v>
      </c>
      <c r="H90" s="128">
        <f t="shared" ref="H90:H91" si="209">+H89</f>
        <v>46.265000000000001</v>
      </c>
      <c r="I90" s="142">
        <f t="shared" ref="I90:I91" si="210">+I89</f>
        <v>80</v>
      </c>
      <c r="J90" s="143">
        <f t="shared" si="196"/>
        <v>7.8125E-3</v>
      </c>
      <c r="K90" s="142">
        <f t="shared" ref="K90:K91" si="211">+K89</f>
        <v>1264</v>
      </c>
      <c r="L90" s="128">
        <f t="shared" si="197"/>
        <v>15.456099999999999</v>
      </c>
      <c r="M90" s="144">
        <f t="shared" si="198"/>
        <v>1.5456099999999999E-2</v>
      </c>
      <c r="N90" s="144">
        <f t="shared" si="189"/>
        <v>0.1431761338954268</v>
      </c>
      <c r="O90" s="144">
        <f t="shared" si="190"/>
        <v>5.6368556651742834</v>
      </c>
      <c r="P90" s="145">
        <f t="shared" si="195"/>
        <v>6</v>
      </c>
      <c r="Q90" s="113">
        <f>IF(O90&gt;0,VLOOKUP(P90,'$ alcantarillado'!$I$5:$L$22,4,FALSE),"0")</f>
        <v>0.14499999999999999</v>
      </c>
      <c r="R90" s="113">
        <f t="shared" si="191"/>
        <v>1.5986727597372376E-2</v>
      </c>
      <c r="S90" s="146">
        <f t="shared" si="192"/>
        <v>0.96680824176552593</v>
      </c>
      <c r="T90" s="145">
        <f>+IF(S90&gt;$B$13,VLOOKUP(P90,'$ alcantarillado'!$I$6:$N$22,5),P90)</f>
        <v>8</v>
      </c>
      <c r="U90" s="113">
        <f>IF(O90&gt;0,VLOOKUP(T90,'$ alcantarillado'!$I$5:$L$22,4),"0")</f>
        <v>0.182</v>
      </c>
      <c r="V90" s="113">
        <f t="shared" si="193"/>
        <v>2.9306813703031953E-2</v>
      </c>
      <c r="W90" s="146">
        <f t="shared" si="194"/>
        <v>0.52738930122591177</v>
      </c>
      <c r="X90" s="146">
        <f t="shared" si="199"/>
        <v>1.1265123214855279</v>
      </c>
      <c r="Y90" s="113">
        <f>IF(T90&gt;0,(VLOOKUP($W90,Relaciones!$A$4:$D$108,2)),"")</f>
        <v>0.86</v>
      </c>
      <c r="Z90" s="146">
        <f t="shared" si="200"/>
        <v>0.96880059647755401</v>
      </c>
      <c r="AA90" s="146">
        <f t="shared" si="201"/>
        <v>0.35546875</v>
      </c>
      <c r="AB90" s="147" t="str">
        <f t="shared" si="202"/>
        <v>OK</v>
      </c>
      <c r="AC90" s="147" t="str">
        <f t="shared" si="203"/>
        <v>OK</v>
      </c>
      <c r="AD90" s="147" t="str">
        <f t="shared" si="204"/>
        <v>OK</v>
      </c>
      <c r="AE90" s="148">
        <f t="shared" si="205"/>
        <v>1</v>
      </c>
      <c r="AF90" s="148">
        <f t="shared" si="205"/>
        <v>1</v>
      </c>
      <c r="AG90" s="148">
        <f t="shared" si="205"/>
        <v>1</v>
      </c>
      <c r="AH90" s="148">
        <f t="shared" si="206"/>
        <v>3</v>
      </c>
      <c r="AI90" s="147">
        <f t="shared" si="207"/>
        <v>0.68199999999999994</v>
      </c>
      <c r="AJ90" s="149">
        <f>IF(AI90&gt;0,I90*VLOOKUP(T90,'$ alcantarillado'!$I$6:$K$22,3),0)</f>
        <v>2654586.666666667</v>
      </c>
      <c r="AK90" s="149">
        <f t="shared" si="146"/>
        <v>3815871.840000004</v>
      </c>
      <c r="AL90" s="149">
        <f t="shared" si="147"/>
        <v>1662590.7420000019</v>
      </c>
      <c r="AM90" s="149">
        <f t="shared" si="208"/>
        <v>8133049.2486666739</v>
      </c>
      <c r="AN90" s="180">
        <f>IF(AP58&gt;0,IF(AP186&gt;0,AP58+AP186,0),0)</f>
        <v>23323505.804000024</v>
      </c>
      <c r="AO90" s="150">
        <f t="shared" si="87"/>
        <v>31456555.052666698</v>
      </c>
      <c r="AP90" s="219"/>
      <c r="AQ90" s="142">
        <v>5</v>
      </c>
      <c r="AR90" s="165">
        <v>4</v>
      </c>
    </row>
    <row r="91" spans="1:44" x14ac:dyDescent="0.25">
      <c r="A91" s="230"/>
      <c r="B91" s="230"/>
      <c r="C91" s="230"/>
      <c r="D91" s="230"/>
      <c r="E91" s="151">
        <v>4</v>
      </c>
      <c r="F91" s="190">
        <f>IF(H66&lt;H192,H66,H192)</f>
        <v>46.765000000000001</v>
      </c>
      <c r="G91" s="151">
        <v>4</v>
      </c>
      <c r="H91" s="128">
        <f t="shared" si="209"/>
        <v>46.265000000000001</v>
      </c>
      <c r="I91" s="142">
        <f t="shared" si="210"/>
        <v>80</v>
      </c>
      <c r="J91" s="143">
        <f>+(F91-H91)/I91</f>
        <v>6.2500000000000003E-3</v>
      </c>
      <c r="K91" s="142">
        <f t="shared" si="211"/>
        <v>1264</v>
      </c>
      <c r="L91" s="128">
        <f t="shared" si="197"/>
        <v>15.456099999999999</v>
      </c>
      <c r="M91" s="144">
        <f t="shared" si="198"/>
        <v>1.5456099999999999E-2</v>
      </c>
      <c r="N91" s="144">
        <f t="shared" si="189"/>
        <v>0.14929362341696081</v>
      </c>
      <c r="O91" s="144">
        <f t="shared" si="190"/>
        <v>5.8777017093291661</v>
      </c>
      <c r="P91" s="145">
        <f t="shared" si="195"/>
        <v>6</v>
      </c>
      <c r="Q91" s="113">
        <f>IF(O91&gt;0,VLOOKUP(P91,'$ alcantarillado'!$I$5:$L$22,4,FALSE),"0")</f>
        <v>0.14499999999999999</v>
      </c>
      <c r="R91" s="113">
        <f t="shared" si="191"/>
        <v>1.4298963858198607E-2</v>
      </c>
      <c r="S91" s="146">
        <f t="shared" si="192"/>
        <v>1.0809244748973839</v>
      </c>
      <c r="T91" s="145">
        <f>+IF(S91&gt;$B$13,VLOOKUP(P91,'$ alcantarillado'!$I$6:$N$22,5),P91)</f>
        <v>8</v>
      </c>
      <c r="U91" s="113">
        <f>IF(O91&gt;0,VLOOKUP(T91,'$ alcantarillado'!$I$5:$L$22,4),"0")</f>
        <v>0.182</v>
      </c>
      <c r="V91" s="113">
        <f t="shared" si="193"/>
        <v>2.6212811057560712E-2</v>
      </c>
      <c r="W91" s="146">
        <f t="shared" si="194"/>
        <v>0.58963916407362604</v>
      </c>
      <c r="X91" s="146">
        <f t="shared" si="199"/>
        <v>1.0075832513330949</v>
      </c>
      <c r="Y91" s="113">
        <f>IF(T91&gt;0,(VLOOKUP($W91,Relaciones!$A$4:$D$108,2)),"")</f>
        <v>0.89</v>
      </c>
      <c r="Z91" s="146">
        <f t="shared" si="200"/>
        <v>0.8967490936864545</v>
      </c>
      <c r="AA91" s="146">
        <f t="shared" si="201"/>
        <v>0.28437499999999999</v>
      </c>
      <c r="AB91" s="147" t="str">
        <f t="shared" si="202"/>
        <v>OK</v>
      </c>
      <c r="AC91" s="147" t="str">
        <f t="shared" si="203"/>
        <v>OK</v>
      </c>
      <c r="AD91" s="147" t="str">
        <f t="shared" si="204"/>
        <v>OK</v>
      </c>
      <c r="AE91" s="148">
        <f t="shared" si="205"/>
        <v>1</v>
      </c>
      <c r="AF91" s="148">
        <f t="shared" si="205"/>
        <v>1</v>
      </c>
      <c r="AG91" s="148">
        <f t="shared" si="205"/>
        <v>1</v>
      </c>
      <c r="AH91" s="148">
        <f t="shared" si="206"/>
        <v>3</v>
      </c>
      <c r="AI91" s="147">
        <f t="shared" si="207"/>
        <v>0.68199999999999994</v>
      </c>
      <c r="AJ91" s="149">
        <f>IF(AI91&gt;0,I91*VLOOKUP(T91,'$ alcantarillado'!$I$6:$K$22,3),0)</f>
        <v>2654586.666666667</v>
      </c>
      <c r="AK91" s="149">
        <f t="shared" si="146"/>
        <v>3938631.8400000031</v>
      </c>
      <c r="AL91" s="149">
        <f t="shared" si="147"/>
        <v>1749838.3670000019</v>
      </c>
      <c r="AM91" s="149">
        <f t="shared" si="208"/>
        <v>8343056.873666672</v>
      </c>
      <c r="AN91" s="180">
        <f>IF(AP63&gt;0,IF(AP191&gt;0,AP63+AP191,0),0)</f>
        <v>23442935.804000027</v>
      </c>
      <c r="AO91" s="150">
        <f t="shared" si="87"/>
        <v>31785992.677666701</v>
      </c>
      <c r="AP91" s="219"/>
      <c r="AQ91" s="142"/>
      <c r="AR91" s="165"/>
    </row>
    <row r="92" spans="1:44" ht="15.75" thickBot="1" x14ac:dyDescent="0.3">
      <c r="A92" s="230"/>
      <c r="B92" s="230"/>
      <c r="C92" s="230"/>
      <c r="D92" s="230"/>
      <c r="E92" s="152">
        <v>5</v>
      </c>
      <c r="F92" s="191">
        <f>IF(H69&lt;H196,H69,H196)</f>
        <v>46.64</v>
      </c>
      <c r="G92" s="152">
        <v>4</v>
      </c>
      <c r="H92" s="153">
        <f>+H91</f>
        <v>46.265000000000001</v>
      </c>
      <c r="I92" s="154">
        <f>+I91</f>
        <v>80</v>
      </c>
      <c r="J92" s="155">
        <f t="shared" si="196"/>
        <v>4.6874999999999998E-3</v>
      </c>
      <c r="K92" s="154">
        <f>+K91</f>
        <v>1264</v>
      </c>
      <c r="L92" s="153">
        <f t="shared" si="197"/>
        <v>15.456099999999999</v>
      </c>
      <c r="M92" s="156">
        <f t="shared" si="198"/>
        <v>1.5456099999999999E-2</v>
      </c>
      <c r="N92" s="156">
        <f t="shared" si="189"/>
        <v>0.15756772760132909</v>
      </c>
      <c r="O92" s="156">
        <f t="shared" si="190"/>
        <v>6.2034538425720118</v>
      </c>
      <c r="P92" s="157">
        <f t="shared" si="195"/>
        <v>8</v>
      </c>
      <c r="Q92" s="113">
        <f>IF(O92&gt;0,VLOOKUP(P92,'$ alcantarillado'!$I$5:$L$22,4,FALSE),"0")</f>
        <v>0.182</v>
      </c>
      <c r="R92" s="160">
        <f t="shared" si="191"/>
        <v>2.2700960280449212E-2</v>
      </c>
      <c r="S92" s="146">
        <f t="shared" si="192"/>
        <v>0.68085666020530788</v>
      </c>
      <c r="T92" s="145">
        <f>+IF(S92&gt;$B$13,VLOOKUP(P92,'$ alcantarillado'!$I$6:$N$22,5),P92)</f>
        <v>8</v>
      </c>
      <c r="U92" s="113">
        <f>IF(O92&gt;0,VLOOKUP(T92,'$ alcantarillado'!$I$5:$L$22,4),"0")</f>
        <v>0.182</v>
      </c>
      <c r="V92" s="113">
        <f t="shared" si="193"/>
        <v>2.2700960280449212E-2</v>
      </c>
      <c r="W92" s="146">
        <f t="shared" si="194"/>
        <v>0.68085666020530788</v>
      </c>
      <c r="X92" s="146">
        <f t="shared" si="199"/>
        <v>0.87259269208218104</v>
      </c>
      <c r="Y92" s="113">
        <f>IF(T92&gt;0,(VLOOKUP($W92,Relaciones!$A$4:$D$108,2)),"")</f>
        <v>0.93600000000000005</v>
      </c>
      <c r="Z92" s="146">
        <f t="shared" si="200"/>
        <v>0.81674675978892153</v>
      </c>
      <c r="AA92" s="146">
        <f t="shared" si="201"/>
        <v>0.21328125000000001</v>
      </c>
      <c r="AB92" s="147" t="str">
        <f t="shared" si="202"/>
        <v>OK</v>
      </c>
      <c r="AC92" s="147" t="str">
        <f t="shared" si="203"/>
        <v>OK</v>
      </c>
      <c r="AD92" s="147" t="str">
        <f t="shared" si="204"/>
        <v>OK</v>
      </c>
      <c r="AE92" s="148">
        <f t="shared" si="205"/>
        <v>1</v>
      </c>
      <c r="AF92" s="148">
        <f t="shared" si="205"/>
        <v>1</v>
      </c>
      <c r="AG92" s="148">
        <f t="shared" si="205"/>
        <v>1</v>
      </c>
      <c r="AH92" s="148">
        <f t="shared" si="206"/>
        <v>3</v>
      </c>
      <c r="AI92" s="147">
        <f t="shared" si="207"/>
        <v>0.68199999999999994</v>
      </c>
      <c r="AJ92" s="158">
        <f>IF(AI92&gt;0,I92*VLOOKUP(T92,'$ alcantarillado'!$I$6:$K$22,3),0)</f>
        <v>2654586.666666667</v>
      </c>
      <c r="AK92" s="149">
        <f t="shared" si="146"/>
        <v>4061391.840000004</v>
      </c>
      <c r="AL92" s="149">
        <f t="shared" si="147"/>
        <v>1837085.9920000019</v>
      </c>
      <c r="AM92" s="158">
        <f t="shared" si="208"/>
        <v>8553064.4986666739</v>
      </c>
      <c r="AN92" s="181">
        <f>IF(AP68&gt;0,IF(AP196&gt;0,AP68+AP196,0),0)</f>
        <v>22572189.33366669</v>
      </c>
      <c r="AO92" s="159">
        <f t="shared" si="87"/>
        <v>31125253.832333364</v>
      </c>
      <c r="AP92" s="220"/>
      <c r="AQ92" s="154"/>
      <c r="AR92" s="166"/>
    </row>
    <row r="93" spans="1:44" x14ac:dyDescent="0.25">
      <c r="A93" s="230"/>
      <c r="B93" s="230"/>
      <c r="C93" s="230"/>
      <c r="D93" s="230"/>
      <c r="E93" s="127">
        <v>1</v>
      </c>
      <c r="F93" s="189">
        <f>IF(H49&lt;H176,H49,H176)</f>
        <v>47.14</v>
      </c>
      <c r="G93" s="127">
        <v>5</v>
      </c>
      <c r="H93" s="132">
        <f>+H83-2*$B$15</f>
        <v>46.14</v>
      </c>
      <c r="I93" s="142">
        <f>+I88</f>
        <v>80</v>
      </c>
      <c r="J93" s="143">
        <f>+(F93-H93)/I93</f>
        <v>1.2500000000000001E-2</v>
      </c>
      <c r="K93" s="142">
        <f>+K88</f>
        <v>1264</v>
      </c>
      <c r="L93" s="132">
        <f>IF(K93&lt;38,K93^0.3686*0.7401,IF(K93&lt;235,K93^0.4193*0.6215,IF(K93&lt;932,K93*0.0092+4.2493,K93*0.0069+6.7345)))</f>
        <v>15.456099999999999</v>
      </c>
      <c r="M93" s="133">
        <f>+L93/1000</f>
        <v>1.5456099999999999E-2</v>
      </c>
      <c r="N93" s="133">
        <f t="shared" si="189"/>
        <v>0.13109862432799763</v>
      </c>
      <c r="O93" s="133">
        <f t="shared" si="190"/>
        <v>5.1613631625195922</v>
      </c>
      <c r="P93" s="134">
        <f t="shared" si="195"/>
        <v>6</v>
      </c>
      <c r="Q93" s="135">
        <f>IF(O93&gt;0,VLOOKUP(P93,'$ alcantarillado'!$I$5:$L$22,4,FALSE),"0")</f>
        <v>0.14499999999999999</v>
      </c>
      <c r="R93" s="135">
        <f t="shared" si="191"/>
        <v>2.0221788616147186E-2</v>
      </c>
      <c r="S93" s="136">
        <f t="shared" si="192"/>
        <v>0.76432902615044818</v>
      </c>
      <c r="T93" s="134">
        <f>+IF(S93&gt;$B$13,VLOOKUP(P93,'$ alcantarillado'!$I$6:$N$22,5),P93)</f>
        <v>6</v>
      </c>
      <c r="U93" s="135">
        <f>IF(O93&gt;0,VLOOKUP(T93,'$ alcantarillado'!$I$5:$L$22,4),"0")</f>
        <v>0.14499999999999999</v>
      </c>
      <c r="V93" s="135">
        <f t="shared" si="193"/>
        <v>2.0221788616147186E-2</v>
      </c>
      <c r="W93" s="136">
        <f t="shared" si="194"/>
        <v>0.76432902615044818</v>
      </c>
      <c r="X93" s="136">
        <f>IF(T93&gt;0,4*V93/(PI()*(U93)^2),"")</f>
        <v>1.2245983796125537</v>
      </c>
      <c r="Y93" s="135">
        <f>IF(T93&gt;0,(VLOOKUP($W93,Relaciones!$A$4:$D$108,2)),"")</f>
        <v>0.96899999999999997</v>
      </c>
      <c r="Z93" s="136">
        <f>IF(T93&gt;0,Y93*X93,"")</f>
        <v>1.1866358298445645</v>
      </c>
      <c r="AA93" s="136">
        <f>IF(T93&gt;0,250*U93*J93,"")</f>
        <v>0.453125</v>
      </c>
      <c r="AB93" s="137" t="str">
        <f>IF(T93&gt;0,IF(W93&lt;=$B$13,"OK","No Cumple"),"")</f>
        <v>OK</v>
      </c>
      <c r="AC93" s="137" t="str">
        <f>IF(T93&gt;0,IF(Z93&gt;=$B$12,"OK","No Cumple"),"")</f>
        <v>OK</v>
      </c>
      <c r="AD93" s="137" t="str">
        <f>IF(T93&gt;0,IF(AA93&gt;$B$14,"OK","No Cumple"),"")</f>
        <v>OK</v>
      </c>
      <c r="AE93" s="138">
        <f>+IF(AB93="OK",1,0)</f>
        <v>1</v>
      </c>
      <c r="AF93" s="138">
        <f>+IF(AC93="OK",1,0)</f>
        <v>1</v>
      </c>
      <c r="AG93" s="138">
        <f>+IF(AD93="OK",1,0)</f>
        <v>1</v>
      </c>
      <c r="AH93" s="138">
        <f>SUM(AE93:AG93)</f>
        <v>3</v>
      </c>
      <c r="AI93" s="137">
        <f>IF(AH93=3,2*$B$7+U93,0)</f>
        <v>0.64500000000000002</v>
      </c>
      <c r="AJ93" s="139">
        <f>IF(AI93&gt;0,I93*VLOOKUP(T93,'$ alcantarillado'!$I$6:$K$22,3),0)</f>
        <v>1912173.3333333335</v>
      </c>
      <c r="AK93" s="139">
        <f t="shared" si="146"/>
        <v>3383154.0000000042</v>
      </c>
      <c r="AL93" s="139">
        <f t="shared" si="147"/>
        <v>1462270.1950000019</v>
      </c>
      <c r="AM93" s="139">
        <f>IF(AJ93&gt;0,AJ93+AK93+AL93,0)</f>
        <v>6757597.5283333398</v>
      </c>
      <c r="AN93" s="180">
        <f>IF(AP48&gt;0,IF(AP176&gt;0,AP48+AP176,0),0)</f>
        <v>0</v>
      </c>
      <c r="AO93" s="140" t="str">
        <f>IF((AM93)&gt;0,IF(AN93&gt;0,AM93+AN93,""),"")</f>
        <v/>
      </c>
      <c r="AP93" s="217">
        <f>+MIN(AO93:AO97)</f>
        <v>30165020.957333364</v>
      </c>
      <c r="AQ93" s="142"/>
      <c r="AR93" s="165"/>
    </row>
    <row r="94" spans="1:44" x14ac:dyDescent="0.25">
      <c r="A94" s="230"/>
      <c r="B94" s="230"/>
      <c r="C94" s="230"/>
      <c r="D94" s="230"/>
      <c r="E94" s="141">
        <v>2</v>
      </c>
      <c r="F94" s="190">
        <f>IF(H54&lt;H182,H54,H182)</f>
        <v>47.015000000000001</v>
      </c>
      <c r="G94" s="141">
        <v>5</v>
      </c>
      <c r="H94" s="128">
        <f>+H93</f>
        <v>46.14</v>
      </c>
      <c r="I94" s="142">
        <f>+I93</f>
        <v>80</v>
      </c>
      <c r="J94" s="143">
        <f t="shared" si="196"/>
        <v>1.0937499999999999E-2</v>
      </c>
      <c r="K94" s="142">
        <f>+K93</f>
        <v>1264</v>
      </c>
      <c r="L94" s="128">
        <f t="shared" si="197"/>
        <v>15.456099999999999</v>
      </c>
      <c r="M94" s="144">
        <f t="shared" ref="M94:M97" si="212">+L94/1000</f>
        <v>1.5456099999999999E-2</v>
      </c>
      <c r="N94" s="144">
        <f t="shared" si="189"/>
        <v>0.13442239363650915</v>
      </c>
      <c r="O94" s="144">
        <f t="shared" si="190"/>
        <v>5.2922202219098091</v>
      </c>
      <c r="P94" s="145">
        <f t="shared" si="195"/>
        <v>6</v>
      </c>
      <c r="Q94" s="113">
        <f>IF(O94&gt;0,VLOOKUP(P94,'$ alcantarillado'!$I$5:$L$22,4,FALSE),"0")</f>
        <v>0.14499999999999999</v>
      </c>
      <c r="R94" s="113">
        <f t="shared" si="191"/>
        <v>1.8915751187347084E-2</v>
      </c>
      <c r="S94" s="146">
        <f t="shared" si="192"/>
        <v>0.81710209903473052</v>
      </c>
      <c r="T94" s="145">
        <f>+IF(S94&gt;$B$13,VLOOKUP(P94,'$ alcantarillado'!$I$6:$N$22,5),P94)</f>
        <v>6</v>
      </c>
      <c r="U94" s="113">
        <f>IF(O94&gt;0,VLOOKUP(T94,'$ alcantarillado'!$I$5:$L$22,4),"0")</f>
        <v>0.14499999999999999</v>
      </c>
      <c r="V94" s="113">
        <f t="shared" si="193"/>
        <v>1.8915751187347084E-2</v>
      </c>
      <c r="W94" s="146">
        <f t="shared" si="194"/>
        <v>0.81710209903473052</v>
      </c>
      <c r="X94" s="146">
        <f t="shared" ref="X94:X97" si="213">IF(T94&gt;0,4*V94/(PI()*(U94)^2),"")</f>
        <v>1.1455068932271779</v>
      </c>
      <c r="Y94" s="113">
        <f>IF(T94&gt;0,(VLOOKUP($W94,Relaciones!$A$4:$D$108,2)),"")</f>
        <v>0.98699999999999999</v>
      </c>
      <c r="Z94" s="146">
        <f t="shared" ref="Z94:Z97" si="214">IF(T94&gt;0,Y94*X94,"")</f>
        <v>1.1306153036152247</v>
      </c>
      <c r="AA94" s="146">
        <f t="shared" ref="AA94:AA97" si="215">IF(T94&gt;0,250*U94*J94,"")</f>
        <v>0.396484375</v>
      </c>
      <c r="AB94" s="147" t="str">
        <f t="shared" ref="AB94:AB97" si="216">IF(T94&gt;0,IF(W94&lt;=$B$13,"OK","No Cumple"),"")</f>
        <v>OK</v>
      </c>
      <c r="AC94" s="147" t="str">
        <f t="shared" ref="AC94:AC97" si="217">IF(T94&gt;0,IF(Z94&gt;=$B$12,"OK","No Cumple"),"")</f>
        <v>OK</v>
      </c>
      <c r="AD94" s="147" t="str">
        <f t="shared" ref="AD94:AD97" si="218">IF(T94&gt;0,IF(AA94&gt;$B$14,"OK","No Cumple"),"")</f>
        <v>OK</v>
      </c>
      <c r="AE94" s="148">
        <f t="shared" ref="AE94:AG97" si="219">+IF(AB94="OK",1,0)</f>
        <v>1</v>
      </c>
      <c r="AF94" s="148">
        <f t="shared" si="219"/>
        <v>1</v>
      </c>
      <c r="AG94" s="148">
        <f t="shared" si="219"/>
        <v>1</v>
      </c>
      <c r="AH94" s="148">
        <f t="shared" ref="AH94:AH97" si="220">SUM(AE94:AG94)</f>
        <v>3</v>
      </c>
      <c r="AI94" s="147">
        <f t="shared" ref="AI94:AI97" si="221">IF(AH94=3,2*$B$7+U94,0)</f>
        <v>0.64500000000000002</v>
      </c>
      <c r="AJ94" s="149">
        <f>IF(AI94&gt;0,I94*VLOOKUP(T94,'$ alcantarillado'!$I$6:$K$22,3),0)</f>
        <v>1912173.3333333335</v>
      </c>
      <c r="AK94" s="149">
        <f t="shared" si="146"/>
        <v>3499254.0000000047</v>
      </c>
      <c r="AL94" s="149">
        <f t="shared" si="147"/>
        <v>1549517.8200000019</v>
      </c>
      <c r="AM94" s="149">
        <f t="shared" si="208"/>
        <v>6960945.1533333398</v>
      </c>
      <c r="AN94" s="180">
        <f>IF(AP53&gt;0,IF(AP181&gt;0,AP53+AP181,0),0)</f>
        <v>23204075.804000024</v>
      </c>
      <c r="AO94" s="150">
        <f t="shared" si="87"/>
        <v>30165020.957333364</v>
      </c>
      <c r="AP94" s="218"/>
      <c r="AQ94" s="142"/>
      <c r="AR94" s="165"/>
    </row>
    <row r="95" spans="1:44" x14ac:dyDescent="0.25">
      <c r="A95" s="230"/>
      <c r="B95" s="230"/>
      <c r="C95" s="230"/>
      <c r="D95" s="230"/>
      <c r="E95" s="151">
        <v>3</v>
      </c>
      <c r="F95" s="190">
        <f>IF(H60&lt;H187,H60,H187)</f>
        <v>46.89</v>
      </c>
      <c r="G95" s="151">
        <v>5</v>
      </c>
      <c r="H95" s="128">
        <f t="shared" ref="H95:H96" si="222">+H94</f>
        <v>46.14</v>
      </c>
      <c r="I95" s="142">
        <f t="shared" ref="I95:I96" si="223">+I94</f>
        <v>80</v>
      </c>
      <c r="J95" s="143">
        <f t="shared" si="196"/>
        <v>9.3749999999999997E-3</v>
      </c>
      <c r="K95" s="142">
        <f t="shared" ref="K95:K96" si="224">+K94</f>
        <v>1264</v>
      </c>
      <c r="L95" s="128">
        <f t="shared" si="197"/>
        <v>15.456099999999999</v>
      </c>
      <c r="M95" s="144">
        <f t="shared" si="212"/>
        <v>1.5456099999999999E-2</v>
      </c>
      <c r="N95" s="144">
        <f t="shared" si="189"/>
        <v>0.13836433100247289</v>
      </c>
      <c r="O95" s="144">
        <f t="shared" si="190"/>
        <v>5.4474146063965705</v>
      </c>
      <c r="P95" s="145">
        <f t="shared" si="195"/>
        <v>6</v>
      </c>
      <c r="Q95" s="113">
        <f>IF(O95&gt;0,VLOOKUP(P95,'$ alcantarillado'!$I$5:$L$22,4,FALSE),"0")</f>
        <v>0.14499999999999999</v>
      </c>
      <c r="R95" s="113">
        <f t="shared" si="191"/>
        <v>1.7512582651542437E-2</v>
      </c>
      <c r="S95" s="146">
        <f t="shared" si="192"/>
        <v>0.88257113799481135</v>
      </c>
      <c r="T95" s="145">
        <f>+IF(S95&gt;$B$13,VLOOKUP(P95,'$ alcantarillado'!$I$6:$N$22,5),P95)</f>
        <v>8</v>
      </c>
      <c r="U95" s="113">
        <f>IF(O95&gt;0,VLOOKUP(T95,'$ alcantarillado'!$I$5:$L$22,4),"0")</f>
        <v>0.182</v>
      </c>
      <c r="V95" s="113">
        <f t="shared" si="193"/>
        <v>3.2104005907504223E-2</v>
      </c>
      <c r="W95" s="146">
        <f t="shared" si="194"/>
        <v>0.48143836144719804</v>
      </c>
      <c r="X95" s="146">
        <f t="shared" si="213"/>
        <v>1.2340324195702708</v>
      </c>
      <c r="Y95" s="113">
        <f>IF(T95&gt;0,(VLOOKUP($W95,Relaciones!$A$4:$D$108,2)),"")</f>
        <v>0.84</v>
      </c>
      <c r="Z95" s="146">
        <f t="shared" si="214"/>
        <v>1.0365872324390275</v>
      </c>
      <c r="AA95" s="146">
        <f t="shared" si="215"/>
        <v>0.42656250000000001</v>
      </c>
      <c r="AB95" s="147" t="str">
        <f t="shared" si="216"/>
        <v>OK</v>
      </c>
      <c r="AC95" s="147" t="str">
        <f t="shared" si="217"/>
        <v>OK</v>
      </c>
      <c r="AD95" s="147" t="str">
        <f t="shared" si="218"/>
        <v>OK</v>
      </c>
      <c r="AE95" s="148">
        <f t="shared" si="219"/>
        <v>1</v>
      </c>
      <c r="AF95" s="148">
        <f t="shared" si="219"/>
        <v>1</v>
      </c>
      <c r="AG95" s="148">
        <f t="shared" si="219"/>
        <v>1</v>
      </c>
      <c r="AH95" s="148">
        <f t="shared" si="220"/>
        <v>3</v>
      </c>
      <c r="AI95" s="147">
        <f t="shared" si="221"/>
        <v>0.68199999999999994</v>
      </c>
      <c r="AJ95" s="149">
        <f>IF(AI95&gt;0,I95*VLOOKUP(T95,'$ alcantarillado'!$I$6:$K$22,3),0)</f>
        <v>2654586.666666667</v>
      </c>
      <c r="AK95" s="149">
        <f t="shared" si="146"/>
        <v>3877251.8400000031</v>
      </c>
      <c r="AL95" s="149">
        <f t="shared" si="147"/>
        <v>1662590.7420000019</v>
      </c>
      <c r="AM95" s="149">
        <f t="shared" si="208"/>
        <v>8194429.248666672</v>
      </c>
      <c r="AN95" s="180">
        <f>IF(AP58&gt;0,IF(AP186&gt;0,AP58+AP186,0),0)</f>
        <v>23323505.804000024</v>
      </c>
      <c r="AO95" s="150">
        <f t="shared" si="87"/>
        <v>31517935.052666694</v>
      </c>
      <c r="AP95" s="219"/>
      <c r="AQ95" s="142">
        <v>2</v>
      </c>
      <c r="AR95" s="165">
        <v>5</v>
      </c>
    </row>
    <row r="96" spans="1:44" x14ac:dyDescent="0.25">
      <c r="A96" s="230"/>
      <c r="B96" s="230"/>
      <c r="C96" s="230"/>
      <c r="D96" s="230"/>
      <c r="E96" s="151">
        <v>4</v>
      </c>
      <c r="F96" s="190">
        <f>IF(H64&lt;H193,H64,H193)</f>
        <v>46.765000000000001</v>
      </c>
      <c r="G96" s="151">
        <v>5</v>
      </c>
      <c r="H96" s="128">
        <f t="shared" si="222"/>
        <v>46.14</v>
      </c>
      <c r="I96" s="142">
        <f t="shared" si="223"/>
        <v>80</v>
      </c>
      <c r="J96" s="143">
        <f>+(F96-H96)/I96</f>
        <v>7.8125E-3</v>
      </c>
      <c r="K96" s="142">
        <f t="shared" si="224"/>
        <v>1264</v>
      </c>
      <c r="L96" s="128">
        <f t="shared" si="197"/>
        <v>15.456099999999999</v>
      </c>
      <c r="M96" s="144">
        <f t="shared" si="212"/>
        <v>1.5456099999999999E-2</v>
      </c>
      <c r="N96" s="144">
        <f t="shared" si="189"/>
        <v>0.1431761338954268</v>
      </c>
      <c r="O96" s="144">
        <f t="shared" si="190"/>
        <v>5.6368556651742834</v>
      </c>
      <c r="P96" s="145">
        <f t="shared" si="195"/>
        <v>6</v>
      </c>
      <c r="Q96" s="113">
        <f>IF(O96&gt;0,VLOOKUP(P96,'$ alcantarillado'!$I$5:$L$22,4,FALSE),"0")</f>
        <v>0.14499999999999999</v>
      </c>
      <c r="R96" s="113">
        <f t="shared" si="191"/>
        <v>1.5986727597372376E-2</v>
      </c>
      <c r="S96" s="146">
        <f t="shared" si="192"/>
        <v>0.96680824176552593</v>
      </c>
      <c r="T96" s="145">
        <f>+IF(S96&gt;$B$13,VLOOKUP(P96,'$ alcantarillado'!$I$6:$N$22,5),P96)</f>
        <v>8</v>
      </c>
      <c r="U96" s="113">
        <f>IF(O96&gt;0,VLOOKUP(T96,'$ alcantarillado'!$I$5:$L$22,4),"0")</f>
        <v>0.182</v>
      </c>
      <c r="V96" s="113">
        <f t="shared" si="193"/>
        <v>2.9306813703031953E-2</v>
      </c>
      <c r="W96" s="146">
        <f t="shared" si="194"/>
        <v>0.52738930122591177</v>
      </c>
      <c r="X96" s="146">
        <f t="shared" si="213"/>
        <v>1.1265123214855279</v>
      </c>
      <c r="Y96" s="113">
        <f>IF(T96&gt;0,(VLOOKUP($W96,Relaciones!$A$4:$D$108,2)),"")</f>
        <v>0.86</v>
      </c>
      <c r="Z96" s="146">
        <f t="shared" si="214"/>
        <v>0.96880059647755401</v>
      </c>
      <c r="AA96" s="146">
        <f t="shared" si="215"/>
        <v>0.35546875</v>
      </c>
      <c r="AB96" s="147" t="str">
        <f t="shared" si="216"/>
        <v>OK</v>
      </c>
      <c r="AC96" s="147" t="str">
        <f t="shared" si="217"/>
        <v>OK</v>
      </c>
      <c r="AD96" s="147" t="str">
        <f t="shared" si="218"/>
        <v>OK</v>
      </c>
      <c r="AE96" s="148">
        <f t="shared" si="219"/>
        <v>1</v>
      </c>
      <c r="AF96" s="148">
        <f t="shared" si="219"/>
        <v>1</v>
      </c>
      <c r="AG96" s="148">
        <f t="shared" si="219"/>
        <v>1</v>
      </c>
      <c r="AH96" s="148">
        <f t="shared" si="220"/>
        <v>3</v>
      </c>
      <c r="AI96" s="147">
        <f t="shared" si="221"/>
        <v>0.68199999999999994</v>
      </c>
      <c r="AJ96" s="149">
        <f>IF(AI96&gt;0,I96*VLOOKUP(T96,'$ alcantarillado'!$I$6:$K$22,3),0)</f>
        <v>2654586.666666667</v>
      </c>
      <c r="AK96" s="149">
        <f t="shared" si="146"/>
        <v>4000011.8400000036</v>
      </c>
      <c r="AL96" s="149">
        <f t="shared" si="147"/>
        <v>1749838.3670000019</v>
      </c>
      <c r="AM96" s="149">
        <f t="shared" si="208"/>
        <v>8404436.873666672</v>
      </c>
      <c r="AN96" s="180">
        <f>IF(AP63&gt;0,IF(AP191&gt;0,AP63+AP191,0),0)</f>
        <v>23442935.804000027</v>
      </c>
      <c r="AO96" s="150">
        <f t="shared" si="87"/>
        <v>31847372.677666701</v>
      </c>
      <c r="AP96" s="219"/>
      <c r="AQ96" s="142"/>
      <c r="AR96" s="165"/>
    </row>
    <row r="97" spans="1:44" ht="15.75" thickBot="1" x14ac:dyDescent="0.3">
      <c r="A97" s="231"/>
      <c r="B97" s="231"/>
      <c r="C97" s="231"/>
      <c r="D97" s="231"/>
      <c r="E97" s="152">
        <v>5</v>
      </c>
      <c r="F97" s="191">
        <f>IF(H71&lt;H196,H71,H196)</f>
        <v>46.64</v>
      </c>
      <c r="G97" s="152">
        <v>5</v>
      </c>
      <c r="H97" s="153">
        <f>+H96</f>
        <v>46.14</v>
      </c>
      <c r="I97" s="154">
        <f>+I96</f>
        <v>80</v>
      </c>
      <c r="J97" s="155">
        <f t="shared" si="196"/>
        <v>6.2500000000000003E-3</v>
      </c>
      <c r="K97" s="154">
        <f>+K96</f>
        <v>1264</v>
      </c>
      <c r="L97" s="153">
        <f t="shared" si="197"/>
        <v>15.456099999999999</v>
      </c>
      <c r="M97" s="156">
        <f t="shared" si="212"/>
        <v>1.5456099999999999E-2</v>
      </c>
      <c r="N97" s="156">
        <f t="shared" si="189"/>
        <v>0.14929362341696081</v>
      </c>
      <c r="O97" s="156">
        <f t="shared" si="190"/>
        <v>5.8777017093291661</v>
      </c>
      <c r="P97" s="157">
        <f t="shared" si="195"/>
        <v>6</v>
      </c>
      <c r="Q97" s="113">
        <f>IF(O97&gt;0,VLOOKUP(P97,'$ alcantarillado'!$I$5:$L$22,4,FALSE),"0")</f>
        <v>0.14499999999999999</v>
      </c>
      <c r="R97" s="160">
        <f t="shared" si="191"/>
        <v>1.4298963858198607E-2</v>
      </c>
      <c r="S97" s="146">
        <f t="shared" si="192"/>
        <v>1.0809244748973839</v>
      </c>
      <c r="T97" s="145">
        <f>+IF(S97&gt;$B$13,VLOOKUP(P97,'$ alcantarillado'!$I$6:$N$22,5),P97)</f>
        <v>8</v>
      </c>
      <c r="U97" s="113">
        <f>IF(O97&gt;0,VLOOKUP(T97,'$ alcantarillado'!$I$5:$L$22,4),"0")</f>
        <v>0.182</v>
      </c>
      <c r="V97" s="113">
        <f t="shared" si="193"/>
        <v>2.6212811057560712E-2</v>
      </c>
      <c r="W97" s="146">
        <f t="shared" si="194"/>
        <v>0.58963916407362604</v>
      </c>
      <c r="X97" s="146">
        <f t="shared" si="213"/>
        <v>1.0075832513330949</v>
      </c>
      <c r="Y97" s="113">
        <f>IF(T97&gt;0,(VLOOKUP($W97,Relaciones!$A$4:$D$108,2)),"")</f>
        <v>0.89</v>
      </c>
      <c r="Z97" s="146">
        <f t="shared" si="214"/>
        <v>0.8967490936864545</v>
      </c>
      <c r="AA97" s="146">
        <f t="shared" si="215"/>
        <v>0.28437499999999999</v>
      </c>
      <c r="AB97" s="147" t="str">
        <f t="shared" si="216"/>
        <v>OK</v>
      </c>
      <c r="AC97" s="147" t="str">
        <f t="shared" si="217"/>
        <v>OK</v>
      </c>
      <c r="AD97" s="147" t="str">
        <f t="shared" si="218"/>
        <v>OK</v>
      </c>
      <c r="AE97" s="148">
        <f t="shared" si="219"/>
        <v>1</v>
      </c>
      <c r="AF97" s="148">
        <f t="shared" si="219"/>
        <v>1</v>
      </c>
      <c r="AG97" s="148">
        <f t="shared" si="219"/>
        <v>1</v>
      </c>
      <c r="AH97" s="148">
        <f t="shared" si="220"/>
        <v>3</v>
      </c>
      <c r="AI97" s="147">
        <f t="shared" si="221"/>
        <v>0.68199999999999994</v>
      </c>
      <c r="AJ97" s="158">
        <f>IF(AI97&gt;0,I97*VLOOKUP(T97,'$ alcantarillado'!$I$6:$K$22,3),0)</f>
        <v>2654586.666666667</v>
      </c>
      <c r="AK97" s="149">
        <f t="shared" si="146"/>
        <v>4122771.8400000036</v>
      </c>
      <c r="AL97" s="149">
        <f t="shared" si="147"/>
        <v>1837085.9920000019</v>
      </c>
      <c r="AM97" s="158">
        <f t="shared" si="208"/>
        <v>8614444.498666672</v>
      </c>
      <c r="AN97" s="180">
        <f>IF(AP68&gt;0,IF(AP196&gt;0,AP68+AP196,0),0)</f>
        <v>22572189.33366669</v>
      </c>
      <c r="AO97" s="159">
        <f t="shared" si="87"/>
        <v>31186633.832333364</v>
      </c>
      <c r="AP97" s="220"/>
      <c r="AQ97" s="142"/>
      <c r="AR97" s="165"/>
    </row>
    <row r="98" spans="1:44" x14ac:dyDescent="0.25">
      <c r="A98" s="210">
        <v>4</v>
      </c>
      <c r="B98" s="210">
        <f>+C73</f>
        <v>6</v>
      </c>
      <c r="C98" s="210">
        <v>7</v>
      </c>
      <c r="D98" s="210">
        <v>49.09</v>
      </c>
      <c r="E98" s="4">
        <v>1</v>
      </c>
      <c r="F98" s="27">
        <f>+H73</f>
        <v>46.64</v>
      </c>
      <c r="G98" s="4">
        <v>1</v>
      </c>
      <c r="H98" s="64">
        <f>+H108+2*$B$15</f>
        <v>46.14</v>
      </c>
      <c r="I98" s="7">
        <f t="shared" ref="I98" si="225">+I87</f>
        <v>80</v>
      </c>
      <c r="J98" s="17">
        <f>+(F98-H98)/I98</f>
        <v>6.2500000000000003E-3</v>
      </c>
      <c r="K98" s="7">
        <f>+K87+H5</f>
        <v>1281</v>
      </c>
      <c r="L98" s="14">
        <f>IF(K98&lt;38,K98^0.3686*0.7401,IF(K98&lt;235,K98^0.4193*0.6215,IF(K98&lt;932,K98*0.0092+4.2493,K98*0.0069+6.7345)))</f>
        <v>15.573399999999999</v>
      </c>
      <c r="M98" s="31">
        <f>+L98/1000</f>
        <v>1.5573399999999999E-2</v>
      </c>
      <c r="N98" s="31">
        <f t="shared" si="189"/>
        <v>0.14971750410516779</v>
      </c>
      <c r="O98" s="31">
        <f t="shared" si="190"/>
        <v>5.8943899254003069</v>
      </c>
      <c r="P98" s="57">
        <f t="shared" si="195"/>
        <v>6</v>
      </c>
      <c r="Q98" s="60">
        <f>IF(O98&gt;0,VLOOKUP(P98,'$ alcantarillado'!$I$5:$L$22,4,FALSE),"0")</f>
        <v>0.14499999999999999</v>
      </c>
      <c r="R98" s="60">
        <f t="shared" si="191"/>
        <v>1.4298963858198607E-2</v>
      </c>
      <c r="S98" s="27">
        <f t="shared" si="192"/>
        <v>1.0891278664971706</v>
      </c>
      <c r="T98" s="57">
        <f>+IF(S98&gt;$B$13,VLOOKUP(P98,'$ alcantarillado'!$I$6:$N$22,5),P98)</f>
        <v>8</v>
      </c>
      <c r="U98" s="60">
        <f>IF(O98&gt;0,VLOOKUP(T98,'$ alcantarillado'!$I$5:$L$22,4),"0")</f>
        <v>0.182</v>
      </c>
      <c r="V98" s="60">
        <f t="shared" si="193"/>
        <v>2.6212811057560712E-2</v>
      </c>
      <c r="W98" s="27">
        <f t="shared" si="194"/>
        <v>0.59411407520553094</v>
      </c>
      <c r="X98" s="27">
        <f>IF(T98&gt;0,4*V98/(PI()*(U98)^2),"")</f>
        <v>1.0075832513330949</v>
      </c>
      <c r="Y98" s="60">
        <f>IF(T98&gt;0,(VLOOKUP($W98,Relaciones!$A$4:$D$108,2)),"")</f>
        <v>0.89500000000000002</v>
      </c>
      <c r="Z98" s="27">
        <f>IF(T98&gt;0,Y98*X98,"")</f>
        <v>0.90178700994312</v>
      </c>
      <c r="AA98" s="27">
        <f>IF(T98&gt;0,250*U98*J98,"")</f>
        <v>0.28437499999999999</v>
      </c>
      <c r="AB98" s="45" t="str">
        <f>IF(T98&gt;0,IF(W98&lt;=$B$13,"OK","No Cumple"),"")</f>
        <v>OK</v>
      </c>
      <c r="AC98" s="45" t="str">
        <f>IF(T98&gt;0,IF(Z98&gt;=$B$12,"OK","No Cumple"),"")</f>
        <v>OK</v>
      </c>
      <c r="AD98" s="45" t="str">
        <f>IF(T98&gt;0,IF(AA98&gt;$B$14,"OK","No Cumple"),"")</f>
        <v>OK</v>
      </c>
      <c r="AE98" s="32">
        <f>+IF(AB98="OK",1,0)</f>
        <v>1</v>
      </c>
      <c r="AF98" s="32">
        <f>+IF(AC98="OK",1,0)</f>
        <v>1</v>
      </c>
      <c r="AG98" s="32">
        <f>+IF(AD98="OK",1,0)</f>
        <v>1</v>
      </c>
      <c r="AH98" s="32">
        <f>SUM(AE98:AG98)</f>
        <v>3</v>
      </c>
      <c r="AI98" s="45">
        <f>IF(AH98=3,2*$B$7+U98,0)</f>
        <v>0.68199999999999994</v>
      </c>
      <c r="AJ98" s="21">
        <f>IF(AI98&gt;0,I98*VLOOKUP(T98,'$ alcantarillado'!$I$6:$K$22,3),0)</f>
        <v>2654586.666666667</v>
      </c>
      <c r="AK98" s="61">
        <f t="shared" ref="AK98:AK122" si="226">IF(N98&gt;0,((($D$98-F98)+(U98))+(($D$123-H98)+(U98))/2)*AI98*I98*$C$9,0)</f>
        <v>4122771.8400000036</v>
      </c>
      <c r="AL98" s="61">
        <f t="shared" ref="AL98:AL122" si="227">IF(AI98&gt;0,(($D$98-F98)+U98)*$C$10,0)</f>
        <v>1837085.9920000019</v>
      </c>
      <c r="AM98" s="21">
        <f>IF(AJ98&gt;0,AJ98+AK98+AL98,0)</f>
        <v>8614444.498666672</v>
      </c>
      <c r="AN98" s="49">
        <f>IF(AP73&gt;0,+AP73,0)</f>
        <v>30942977.427666694</v>
      </c>
      <c r="AO98" s="77">
        <f>IF((AM98)&gt;0,IF(AN98&gt;0,AM98+AN98,""),"")</f>
        <v>39557421.926333368</v>
      </c>
      <c r="AP98" s="213">
        <f t="shared" ref="AP98" si="228">+MIN(AO98:AO102)</f>
        <v>39557421.926333368</v>
      </c>
      <c r="AQ98" s="7"/>
      <c r="AR98" s="8"/>
    </row>
    <row r="99" spans="1:44" x14ac:dyDescent="0.25">
      <c r="A99" s="211"/>
      <c r="B99" s="211"/>
      <c r="C99" s="211"/>
      <c r="D99" s="211"/>
      <c r="E99" s="5">
        <v>2</v>
      </c>
      <c r="F99" s="35">
        <f>+H78</f>
        <v>46.515000000000001</v>
      </c>
      <c r="G99" s="5">
        <v>1</v>
      </c>
      <c r="H99" s="35">
        <f>+H98</f>
        <v>46.14</v>
      </c>
      <c r="I99" s="2">
        <f>+I98</f>
        <v>80</v>
      </c>
      <c r="J99" s="18">
        <f t="shared" ref="J99:J122" si="229">+(F99-H99)/I99</f>
        <v>4.6874999999999998E-3</v>
      </c>
      <c r="K99" s="2">
        <f>+K98</f>
        <v>1281</v>
      </c>
      <c r="L99" s="15">
        <f t="shared" ref="L99:L122" si="230">IF(K99&lt;38,K99^0.3686*0.7401,IF(K99&lt;235,K99^0.4193*0.6215,IF(K99&lt;932,K99*0.0092+4.2493,K99*0.0069+6.7345)))</f>
        <v>15.573399999999999</v>
      </c>
      <c r="M99" s="33">
        <f t="shared" ref="M99:M102" si="231">+L99/1000</f>
        <v>1.5573399999999999E-2</v>
      </c>
      <c r="N99" s="33">
        <f t="shared" si="189"/>
        <v>0.15801510047155756</v>
      </c>
      <c r="O99" s="33">
        <f t="shared" si="190"/>
        <v>6.2210669476991169</v>
      </c>
      <c r="P99" s="58">
        <f t="shared" si="195"/>
        <v>8</v>
      </c>
      <c r="Q99" s="55">
        <f>IF(O99&gt;0,VLOOKUP(P99,'$ alcantarillado'!$I$5:$L$22,4,FALSE),"0")</f>
        <v>0.182</v>
      </c>
      <c r="R99" s="55">
        <f t="shared" si="191"/>
        <v>2.2700960280449212E-2</v>
      </c>
      <c r="S99" s="35">
        <f t="shared" si="192"/>
        <v>0.68602384249851789</v>
      </c>
      <c r="T99" s="58">
        <f>+IF(S99&gt;$B$13,VLOOKUP(P99,'$ alcantarillado'!$I$6:$N$22,5),P99)</f>
        <v>8</v>
      </c>
      <c r="U99" s="55">
        <f>IF(O99&gt;0,VLOOKUP(T99,'$ alcantarillado'!$I$5:$L$22,4),"0")</f>
        <v>0.182</v>
      </c>
      <c r="V99" s="55">
        <f t="shared" si="193"/>
        <v>2.2700960280449212E-2</v>
      </c>
      <c r="W99" s="35">
        <f t="shared" si="194"/>
        <v>0.68602384249851789</v>
      </c>
      <c r="X99" s="35">
        <f t="shared" ref="X99:X102" si="232">IF(T99&gt;0,4*V99/(PI()*(U99)^2),"")</f>
        <v>0.87259269208218104</v>
      </c>
      <c r="Y99" s="55">
        <f>IF(T99&gt;0,(VLOOKUP($W99,Relaciones!$A$4:$D$108,2)),"")</f>
        <v>0.93600000000000005</v>
      </c>
      <c r="Z99" s="35">
        <f t="shared" ref="Z99:Z102" si="233">IF(T99&gt;0,Y99*X99,"")</f>
        <v>0.81674675978892153</v>
      </c>
      <c r="AA99" s="35">
        <f t="shared" ref="AA99:AA102" si="234">IF(T99&gt;0,250*U99*J99,"")</f>
        <v>0.21328125000000001</v>
      </c>
      <c r="AB99" s="46" t="str">
        <f t="shared" ref="AB99:AB102" si="235">IF(T99&gt;0,IF(W99&lt;=$B$13,"OK","No Cumple"),"")</f>
        <v>OK</v>
      </c>
      <c r="AC99" s="46" t="str">
        <f t="shared" ref="AC99:AC102" si="236">IF(T99&gt;0,IF(Z99&gt;=$B$12,"OK","No Cumple"),"")</f>
        <v>OK</v>
      </c>
      <c r="AD99" s="46" t="str">
        <f t="shared" ref="AD99:AD102" si="237">IF(T99&gt;0,IF(AA99&gt;$B$14,"OK","No Cumple"),"")</f>
        <v>OK</v>
      </c>
      <c r="AE99" s="48">
        <f t="shared" ref="AE99:AG102" si="238">+IF(AB99="OK",1,0)</f>
        <v>1</v>
      </c>
      <c r="AF99" s="48">
        <f t="shared" si="238"/>
        <v>1</v>
      </c>
      <c r="AG99" s="48">
        <f t="shared" si="238"/>
        <v>1</v>
      </c>
      <c r="AH99" s="48">
        <f t="shared" ref="AH99:AH102" si="239">SUM(AE99:AG99)</f>
        <v>3</v>
      </c>
      <c r="AI99" s="46">
        <f t="shared" ref="AI99:AI102" si="240">IF(AH99=3,2*$B$7+U99,0)</f>
        <v>0.68199999999999994</v>
      </c>
      <c r="AJ99" s="20">
        <f>IF(AI99&gt;0,I99*VLOOKUP(T99,'$ alcantarillado'!$I$6:$K$22,3),0)</f>
        <v>2654586.666666667</v>
      </c>
      <c r="AK99" s="20">
        <f t="shared" si="226"/>
        <v>4245531.8400000036</v>
      </c>
      <c r="AL99" s="20">
        <f t="shared" si="227"/>
        <v>1924333.6170000019</v>
      </c>
      <c r="AM99" s="20">
        <f t="shared" ref="AM99:AM122" si="241">IF(AJ99&gt;0,AJ99+AK99+AL99,0)</f>
        <v>8824452.123666672</v>
      </c>
      <c r="AN99" s="50">
        <f>+AP78</f>
        <v>31004357.427666694</v>
      </c>
      <c r="AO99" s="78">
        <f t="shared" si="87"/>
        <v>39828809.551333368</v>
      </c>
      <c r="AP99" s="214"/>
      <c r="AQ99" s="2">
        <v>1</v>
      </c>
      <c r="AR99" s="9">
        <v>1</v>
      </c>
    </row>
    <row r="100" spans="1:44" x14ac:dyDescent="0.25">
      <c r="A100" s="211"/>
      <c r="B100" s="211"/>
      <c r="C100" s="211"/>
      <c r="D100" s="211"/>
      <c r="E100" s="56">
        <v>3</v>
      </c>
      <c r="F100" s="35">
        <f>+H83</f>
        <v>46.39</v>
      </c>
      <c r="G100" s="56">
        <v>1</v>
      </c>
      <c r="H100" s="2">
        <f t="shared" ref="H100:H101" si="242">+H99</f>
        <v>46.14</v>
      </c>
      <c r="I100" s="2">
        <f t="shared" ref="I100:I101" si="243">+I99</f>
        <v>80</v>
      </c>
      <c r="J100" s="18">
        <f t="shared" si="229"/>
        <v>3.1250000000000002E-3</v>
      </c>
      <c r="K100" s="2">
        <f t="shared" ref="K100:K101" si="244">+K99</f>
        <v>1281</v>
      </c>
      <c r="L100" s="15">
        <f t="shared" si="230"/>
        <v>15.573399999999999</v>
      </c>
      <c r="M100" s="33">
        <f t="shared" si="231"/>
        <v>1.5573399999999999E-2</v>
      </c>
      <c r="N100" s="33">
        <f t="shared" si="189"/>
        <v>0.17049659209910337</v>
      </c>
      <c r="O100" s="33">
        <f t="shared" si="190"/>
        <v>6.7124642558702119</v>
      </c>
      <c r="P100" s="58">
        <f t="shared" si="195"/>
        <v>8</v>
      </c>
      <c r="Q100" s="55">
        <f>IF(O100&gt;0,VLOOKUP(P100,'$ alcantarillado'!$I$5:$L$22,4,FALSE),"0")</f>
        <v>0.182</v>
      </c>
      <c r="R100" s="55">
        <f t="shared" si="191"/>
        <v>1.8535256452762897E-2</v>
      </c>
      <c r="S100" s="35">
        <f t="shared" si="192"/>
        <v>0.84020418275241082</v>
      </c>
      <c r="T100" s="58">
        <f>+IF(S100&gt;$B$13,VLOOKUP(P100,'$ alcantarillado'!$I$6:$N$22,5),P100)</f>
        <v>8</v>
      </c>
      <c r="U100" s="55">
        <f>IF(O100&gt;0,VLOOKUP(T100,'$ alcantarillado'!$I$5:$L$22,4),"0")</f>
        <v>0.182</v>
      </c>
      <c r="V100" s="55">
        <f t="shared" si="193"/>
        <v>1.8535256452762897E-2</v>
      </c>
      <c r="W100" s="35">
        <f t="shared" si="194"/>
        <v>0.84020418275241082</v>
      </c>
      <c r="X100" s="35">
        <f t="shared" si="232"/>
        <v>0.71246894962762097</v>
      </c>
      <c r="Y100" s="55">
        <f>IF(T100&gt;0,(VLOOKUP($W100,Relaciones!$A$4:$D$108,2)),"")</f>
        <v>0.997</v>
      </c>
      <c r="Z100" s="35">
        <f t="shared" si="233"/>
        <v>0.71033154277873811</v>
      </c>
      <c r="AA100" s="35">
        <f t="shared" si="234"/>
        <v>0.14218749999999999</v>
      </c>
      <c r="AB100" s="46" t="str">
        <f t="shared" si="235"/>
        <v>OK</v>
      </c>
      <c r="AC100" s="46" t="str">
        <f t="shared" si="236"/>
        <v>OK</v>
      </c>
      <c r="AD100" s="46" t="str">
        <f t="shared" si="237"/>
        <v>No Cumple</v>
      </c>
      <c r="AE100" s="48">
        <f t="shared" si="238"/>
        <v>1</v>
      </c>
      <c r="AF100" s="48">
        <f t="shared" si="238"/>
        <v>1</v>
      </c>
      <c r="AG100" s="48">
        <f t="shared" si="238"/>
        <v>0</v>
      </c>
      <c r="AH100" s="48">
        <f t="shared" si="239"/>
        <v>2</v>
      </c>
      <c r="AI100" s="46">
        <f t="shared" si="240"/>
        <v>0</v>
      </c>
      <c r="AJ100" s="20">
        <f>IF(AI100&gt;0,I100*VLOOKUP(T100,'$ alcantarillado'!$I$6:$K$22,3),0)</f>
        <v>0</v>
      </c>
      <c r="AK100" s="20">
        <f t="shared" si="226"/>
        <v>0</v>
      </c>
      <c r="AL100" s="20">
        <f t="shared" si="227"/>
        <v>0</v>
      </c>
      <c r="AM100" s="20">
        <f t="shared" si="241"/>
        <v>0</v>
      </c>
      <c r="AN100" s="50">
        <f>+AP83</f>
        <v>31065737.427666698</v>
      </c>
      <c r="AO100" s="78" t="str">
        <f t="shared" si="87"/>
        <v/>
      </c>
      <c r="AP100" s="215"/>
      <c r="AQ100" s="2"/>
      <c r="AR100" s="9"/>
    </row>
    <row r="101" spans="1:44" x14ac:dyDescent="0.25">
      <c r="A101" s="211"/>
      <c r="B101" s="211"/>
      <c r="C101" s="211"/>
      <c r="D101" s="211"/>
      <c r="E101" s="56">
        <v>4</v>
      </c>
      <c r="F101" s="35">
        <f>+H88</f>
        <v>46.265000000000001</v>
      </c>
      <c r="G101" s="56">
        <v>1</v>
      </c>
      <c r="H101" s="2">
        <f t="shared" si="242"/>
        <v>46.14</v>
      </c>
      <c r="I101" s="2">
        <f t="shared" si="243"/>
        <v>80</v>
      </c>
      <c r="J101" s="18">
        <f>+(F101-H101)/I101</f>
        <v>1.5625000000000001E-3</v>
      </c>
      <c r="K101" s="2">
        <f t="shared" si="244"/>
        <v>1281</v>
      </c>
      <c r="L101" s="15">
        <f t="shared" si="230"/>
        <v>15.573399999999999</v>
      </c>
      <c r="M101" s="33">
        <f t="shared" si="231"/>
        <v>1.5573399999999999E-2</v>
      </c>
      <c r="N101" s="33">
        <f t="shared" si="189"/>
        <v>0.19415958134720646</v>
      </c>
      <c r="O101" s="33">
        <f t="shared" si="190"/>
        <v>7.6440780057955298</v>
      </c>
      <c r="P101" s="58">
        <f t="shared" si="195"/>
        <v>8</v>
      </c>
      <c r="Q101" s="55">
        <f>IF(O101&gt;0,VLOOKUP(P101,'$ alcantarillado'!$I$5:$L$22,4,FALSE),"0")</f>
        <v>0.182</v>
      </c>
      <c r="R101" s="55">
        <f t="shared" si="191"/>
        <v>1.3106405528780356E-2</v>
      </c>
      <c r="S101" s="35">
        <f t="shared" si="192"/>
        <v>1.1882281504110619</v>
      </c>
      <c r="T101" s="58">
        <f>+IF(S101&gt;$B$13,VLOOKUP(P101,'$ alcantarillado'!$I$6:$N$22,5),P101)</f>
        <v>10</v>
      </c>
      <c r="U101" s="55">
        <f>IF(O101&gt;0,VLOOKUP(T101,'$ alcantarillado'!$I$5:$L$22,4),"0")</f>
        <v>0.22700000000000001</v>
      </c>
      <c r="V101" s="55">
        <f t="shared" si="193"/>
        <v>2.3624476083504924E-2</v>
      </c>
      <c r="W101" s="35">
        <f t="shared" si="194"/>
        <v>0.65920615318422471</v>
      </c>
      <c r="X101" s="35">
        <f t="shared" si="232"/>
        <v>0.5837415275508655</v>
      </c>
      <c r="Y101" s="55">
        <f>IF(T101&gt;0,(VLOOKUP($W101,Relaciones!$A$4:$D$108,2)),"")</f>
        <v>0.92200000000000004</v>
      </c>
      <c r="Z101" s="35">
        <f t="shared" si="233"/>
        <v>0.53820968840189798</v>
      </c>
      <c r="AA101" s="35">
        <f t="shared" si="234"/>
        <v>8.8671875000000011E-2</v>
      </c>
      <c r="AB101" s="46" t="str">
        <f t="shared" si="235"/>
        <v>OK</v>
      </c>
      <c r="AC101" s="46" t="str">
        <f t="shared" si="236"/>
        <v>OK</v>
      </c>
      <c r="AD101" s="46" t="str">
        <f t="shared" si="237"/>
        <v>No Cumple</v>
      </c>
      <c r="AE101" s="48">
        <f t="shared" si="238"/>
        <v>1</v>
      </c>
      <c r="AF101" s="48">
        <f t="shared" si="238"/>
        <v>1</v>
      </c>
      <c r="AG101" s="48">
        <f t="shared" si="238"/>
        <v>0</v>
      </c>
      <c r="AH101" s="48">
        <f t="shared" si="239"/>
        <v>2</v>
      </c>
      <c r="AI101" s="46">
        <f t="shared" si="240"/>
        <v>0</v>
      </c>
      <c r="AJ101" s="20">
        <f>IF(AI101&gt;0,I101*VLOOKUP(T101,'$ alcantarillado'!$I$6:$K$22,3),0)</f>
        <v>0</v>
      </c>
      <c r="AK101" s="20">
        <f t="shared" si="226"/>
        <v>0</v>
      </c>
      <c r="AL101" s="20">
        <f t="shared" si="227"/>
        <v>0</v>
      </c>
      <c r="AM101" s="20">
        <f t="shared" si="241"/>
        <v>0</v>
      </c>
      <c r="AN101" s="50">
        <f>+AP88</f>
        <v>31125253.832333364</v>
      </c>
      <c r="AO101" s="78" t="str">
        <f t="shared" si="87"/>
        <v/>
      </c>
      <c r="AP101" s="215"/>
      <c r="AQ101" s="2"/>
      <c r="AR101" s="9"/>
    </row>
    <row r="102" spans="1:44" ht="15.75" thickBot="1" x14ac:dyDescent="0.3">
      <c r="A102" s="211"/>
      <c r="B102" s="211"/>
      <c r="C102" s="211"/>
      <c r="D102" s="211"/>
      <c r="E102" s="6">
        <v>5</v>
      </c>
      <c r="F102" s="65">
        <f>+H93</f>
        <v>46.14</v>
      </c>
      <c r="G102" s="6">
        <v>1</v>
      </c>
      <c r="H102" s="10">
        <f>+H101</f>
        <v>46.14</v>
      </c>
      <c r="I102" s="10">
        <f>+I101</f>
        <v>80</v>
      </c>
      <c r="J102" s="19">
        <f t="shared" si="229"/>
        <v>0</v>
      </c>
      <c r="K102" s="10">
        <f>+K101</f>
        <v>1281</v>
      </c>
      <c r="L102" s="16">
        <f t="shared" si="230"/>
        <v>15.573399999999999</v>
      </c>
      <c r="M102" s="34">
        <f t="shared" si="231"/>
        <v>1.5573399999999999E-2</v>
      </c>
      <c r="N102" s="34">
        <f t="shared" si="189"/>
        <v>0</v>
      </c>
      <c r="O102" s="34">
        <f t="shared" si="190"/>
        <v>0</v>
      </c>
      <c r="P102" s="59">
        <f t="shared" si="195"/>
        <v>0</v>
      </c>
      <c r="Q102" s="55" t="str">
        <f>IF(O102&gt;0,VLOOKUP(P102,'$ alcantarillado'!$I$5:$L$22,4,FALSE),"0")</f>
        <v>0</v>
      </c>
      <c r="R102" s="55" t="str">
        <f t="shared" si="191"/>
        <v/>
      </c>
      <c r="S102" s="35">
        <f t="shared" si="192"/>
        <v>0</v>
      </c>
      <c r="T102" s="58">
        <f>+IF(S102&gt;$B$13,VLOOKUP(P102,'$ alcantarillado'!$I$6:$N$22,5),P102)</f>
        <v>0</v>
      </c>
      <c r="U102" s="55" t="str">
        <f>IF(O102&gt;0,VLOOKUP(T102,'$ alcantarillado'!$I$5:$L$22,4),"0")</f>
        <v>0</v>
      </c>
      <c r="V102" s="55" t="str">
        <f t="shared" si="193"/>
        <v/>
      </c>
      <c r="W102" s="35">
        <f t="shared" si="194"/>
        <v>0</v>
      </c>
      <c r="X102" s="35" t="str">
        <f t="shared" si="232"/>
        <v/>
      </c>
      <c r="Y102" s="55" t="str">
        <f>IF(T102&gt;0,(VLOOKUP($W102,Relaciones!$A$4:$D$108,2)),"")</f>
        <v/>
      </c>
      <c r="Z102" s="35" t="str">
        <f t="shared" si="233"/>
        <v/>
      </c>
      <c r="AA102" s="35" t="str">
        <f t="shared" si="234"/>
        <v/>
      </c>
      <c r="AB102" s="46" t="str">
        <f t="shared" si="235"/>
        <v/>
      </c>
      <c r="AC102" s="46" t="str">
        <f t="shared" si="236"/>
        <v/>
      </c>
      <c r="AD102" s="46" t="str">
        <f t="shared" si="237"/>
        <v/>
      </c>
      <c r="AE102" s="48">
        <f t="shared" si="238"/>
        <v>0</v>
      </c>
      <c r="AF102" s="48">
        <f t="shared" si="238"/>
        <v>0</v>
      </c>
      <c r="AG102" s="48">
        <f t="shared" si="238"/>
        <v>0</v>
      </c>
      <c r="AH102" s="48">
        <f t="shared" si="239"/>
        <v>0</v>
      </c>
      <c r="AI102" s="46">
        <f t="shared" si="240"/>
        <v>0</v>
      </c>
      <c r="AJ102" s="22">
        <f>IF(AI102&gt;0,I102*VLOOKUP(T102,'$ alcantarillado'!$I$6:$K$22,3),0)</f>
        <v>0</v>
      </c>
      <c r="AK102" s="20">
        <f t="shared" si="226"/>
        <v>0</v>
      </c>
      <c r="AL102" s="20">
        <f t="shared" si="227"/>
        <v>0</v>
      </c>
      <c r="AM102" s="22">
        <f t="shared" si="241"/>
        <v>0</v>
      </c>
      <c r="AN102" s="50">
        <f>+AP93</f>
        <v>30165020.957333364</v>
      </c>
      <c r="AO102" s="79" t="str">
        <f t="shared" si="87"/>
        <v/>
      </c>
      <c r="AP102" s="216"/>
      <c r="AQ102" s="10"/>
      <c r="AR102" s="11"/>
    </row>
    <row r="103" spans="1:44" x14ac:dyDescent="0.25">
      <c r="A103" s="211"/>
      <c r="B103" s="211"/>
      <c r="C103" s="211"/>
      <c r="D103" s="211"/>
      <c r="E103" s="4">
        <v>1</v>
      </c>
      <c r="F103" s="27">
        <f>+H73</f>
        <v>46.64</v>
      </c>
      <c r="G103" s="4">
        <v>2</v>
      </c>
      <c r="H103" s="35">
        <f>+H108+$B$15</f>
        <v>46.015000000000001</v>
      </c>
      <c r="I103" s="2">
        <f>+I102</f>
        <v>80</v>
      </c>
      <c r="J103" s="18">
        <f>+(F103-H103)/I103</f>
        <v>7.8125E-3</v>
      </c>
      <c r="K103" s="2">
        <f>+K102</f>
        <v>1281</v>
      </c>
      <c r="L103" s="14">
        <f>IF(K103&lt;38,K103^0.3686*0.7401,IF(K103&lt;235,K103^0.4193*0.6215,IF(K103&lt;932,K103*0.0092+4.2493,K103*0.0069+6.7345)))</f>
        <v>15.573399999999999</v>
      </c>
      <c r="M103" s="31">
        <f>+L103/1000</f>
        <v>1.5573399999999999E-2</v>
      </c>
      <c r="N103" s="31">
        <f t="shared" si="189"/>
        <v>0.14358264555199565</v>
      </c>
      <c r="O103" s="31">
        <f t="shared" si="190"/>
        <v>5.6528600611021913</v>
      </c>
      <c r="P103" s="57">
        <f t="shared" si="195"/>
        <v>6</v>
      </c>
      <c r="Q103" s="60">
        <f>IF(O103&gt;0,VLOOKUP(P103,'$ alcantarillado'!$I$5:$L$22,4,FALSE),"0")</f>
        <v>0.14499999999999999</v>
      </c>
      <c r="R103" s="60">
        <f t="shared" si="191"/>
        <v>1.5986727597372376E-2</v>
      </c>
      <c r="S103" s="27">
        <f t="shared" si="192"/>
        <v>0.97414557827079551</v>
      </c>
      <c r="T103" s="57">
        <f>+IF(S103&gt;$B$13,VLOOKUP(P103,'$ alcantarillado'!$I$6:$N$22,5),P103)</f>
        <v>8</v>
      </c>
      <c r="U103" s="60">
        <f>IF(O103&gt;0,VLOOKUP(T103,'$ alcantarillado'!$I$5:$L$22,4),"0")</f>
        <v>0.182</v>
      </c>
      <c r="V103" s="60">
        <f t="shared" si="193"/>
        <v>2.9306813703031953E-2</v>
      </c>
      <c r="W103" s="27">
        <f t="shared" si="194"/>
        <v>0.53139178341959581</v>
      </c>
      <c r="X103" s="27">
        <f>IF(T103&gt;0,4*V103/(PI()*(U103)^2),"")</f>
        <v>1.1265123214855279</v>
      </c>
      <c r="Y103" s="60">
        <f>IF(T103&gt;0,(VLOOKUP($W103,Relaciones!$A$4:$D$108,2)),"")</f>
        <v>0.86499999999999999</v>
      </c>
      <c r="Z103" s="27">
        <f>IF(T103&gt;0,Y103*X103,"")</f>
        <v>0.97443315808498165</v>
      </c>
      <c r="AA103" s="27">
        <f>IF(T103&gt;0,250*U103*J103,"")</f>
        <v>0.35546875</v>
      </c>
      <c r="AB103" s="45" t="str">
        <f>IF(T103&gt;0,IF(W103&lt;=$B$13,"OK","No Cumple"),"")</f>
        <v>OK</v>
      </c>
      <c r="AC103" s="45" t="str">
        <f>IF(T103&gt;0,IF(Z103&gt;=$B$12,"OK","No Cumple"),"")</f>
        <v>OK</v>
      </c>
      <c r="AD103" s="45" t="str">
        <f>IF(T103&gt;0,IF(AA103&gt;$B$14,"OK","No Cumple"),"")</f>
        <v>OK</v>
      </c>
      <c r="AE103" s="32">
        <f>+IF(AB103="OK",1,0)</f>
        <v>1</v>
      </c>
      <c r="AF103" s="32">
        <f>+IF(AC103="OK",1,0)</f>
        <v>1</v>
      </c>
      <c r="AG103" s="32">
        <f>+IF(AD103="OK",1,0)</f>
        <v>1</v>
      </c>
      <c r="AH103" s="32">
        <f>SUM(AE103:AG103)</f>
        <v>3</v>
      </c>
      <c r="AI103" s="45">
        <f>IF(AH103=3,2*$B$7+U103,0)</f>
        <v>0.68199999999999994</v>
      </c>
      <c r="AJ103" s="21">
        <f>IF(AI103&gt;0,I103*VLOOKUP(T103,'$ alcantarillado'!$I$6:$K$22,3),0)</f>
        <v>2654586.666666667</v>
      </c>
      <c r="AK103" s="61">
        <f t="shared" si="226"/>
        <v>4184151.8400000036</v>
      </c>
      <c r="AL103" s="61">
        <f t="shared" si="227"/>
        <v>1837085.9920000019</v>
      </c>
      <c r="AM103" s="21">
        <f>IF(AJ103&gt;0,AJ103+AK103+AL103,0)</f>
        <v>8675824.498666672</v>
      </c>
      <c r="AN103" s="49">
        <f>IF(AP73&gt;0,+AP73,0)</f>
        <v>30942977.427666694</v>
      </c>
      <c r="AO103" s="77">
        <f>IF((AM103)&gt;0,IF(AN103&gt;0,AM103+AN103,""),"")</f>
        <v>39618801.926333368</v>
      </c>
      <c r="AP103" s="213">
        <f t="shared" ref="AP103" si="245">+MIN(AO103:AO107)</f>
        <v>39618801.926333368</v>
      </c>
      <c r="AQ103" s="2"/>
      <c r="AR103" s="9"/>
    </row>
    <row r="104" spans="1:44" x14ac:dyDescent="0.25">
      <c r="A104" s="211"/>
      <c r="B104" s="211"/>
      <c r="C104" s="211"/>
      <c r="D104" s="211"/>
      <c r="E104" s="5">
        <v>2</v>
      </c>
      <c r="F104" s="35">
        <f>+H78</f>
        <v>46.515000000000001</v>
      </c>
      <c r="G104" s="5">
        <v>2</v>
      </c>
      <c r="H104" s="35">
        <f>+H103</f>
        <v>46.015000000000001</v>
      </c>
      <c r="I104" s="2">
        <f>+I103</f>
        <v>80</v>
      </c>
      <c r="J104" s="18">
        <f t="shared" si="229"/>
        <v>6.2500000000000003E-3</v>
      </c>
      <c r="K104" s="2">
        <f>+K103</f>
        <v>1281</v>
      </c>
      <c r="L104" s="15">
        <f t="shared" si="230"/>
        <v>15.573399999999999</v>
      </c>
      <c r="M104" s="33">
        <f t="shared" ref="M104:M107" si="246">+L104/1000</f>
        <v>1.5573399999999999E-2</v>
      </c>
      <c r="N104" s="33">
        <f t="shared" si="189"/>
        <v>0.14971750410516779</v>
      </c>
      <c r="O104" s="33">
        <f t="shared" si="190"/>
        <v>5.8943899254003069</v>
      </c>
      <c r="P104" s="58">
        <f t="shared" si="195"/>
        <v>6</v>
      </c>
      <c r="Q104" s="55">
        <f>IF(O104&gt;0,VLOOKUP(P104,'$ alcantarillado'!$I$5:$L$22,4,FALSE),"0")</f>
        <v>0.14499999999999999</v>
      </c>
      <c r="R104" s="55">
        <f t="shared" si="191"/>
        <v>1.4298963858198607E-2</v>
      </c>
      <c r="S104" s="35">
        <f t="shared" si="192"/>
        <v>1.0891278664971706</v>
      </c>
      <c r="T104" s="58">
        <f>+IF(S104&gt;$B$13,VLOOKUP(P104,'$ alcantarillado'!$I$6:$N$22,5),P104)</f>
        <v>8</v>
      </c>
      <c r="U104" s="55">
        <f>IF(O104&gt;0,VLOOKUP(T104,'$ alcantarillado'!$I$5:$L$22,4),"0")</f>
        <v>0.182</v>
      </c>
      <c r="V104" s="55">
        <f t="shared" si="193"/>
        <v>2.6212811057560712E-2</v>
      </c>
      <c r="W104" s="35">
        <f t="shared" si="194"/>
        <v>0.59411407520553094</v>
      </c>
      <c r="X104" s="35">
        <f t="shared" ref="X104:X107" si="247">IF(T104&gt;0,4*V104/(PI()*(U104)^2),"")</f>
        <v>1.0075832513330949</v>
      </c>
      <c r="Y104" s="55">
        <f>IF(T104&gt;0,(VLOOKUP($W104,Relaciones!$A$4:$D$108,2)),"")</f>
        <v>0.89500000000000002</v>
      </c>
      <c r="Z104" s="35">
        <f t="shared" ref="Z104:Z107" si="248">IF(T104&gt;0,Y104*X104,"")</f>
        <v>0.90178700994312</v>
      </c>
      <c r="AA104" s="35">
        <f t="shared" ref="AA104:AA107" si="249">IF(T104&gt;0,250*U104*J104,"")</f>
        <v>0.28437499999999999</v>
      </c>
      <c r="AB104" s="46" t="str">
        <f t="shared" ref="AB104:AB107" si="250">IF(T104&gt;0,IF(W104&lt;=$B$13,"OK","No Cumple"),"")</f>
        <v>OK</v>
      </c>
      <c r="AC104" s="46" t="str">
        <f t="shared" ref="AC104:AC107" si="251">IF(T104&gt;0,IF(Z104&gt;=$B$12,"OK","No Cumple"),"")</f>
        <v>OK</v>
      </c>
      <c r="AD104" s="46" t="str">
        <f t="shared" ref="AD104:AD107" si="252">IF(T104&gt;0,IF(AA104&gt;$B$14,"OK","No Cumple"),"")</f>
        <v>OK</v>
      </c>
      <c r="AE104" s="48">
        <f t="shared" ref="AE104:AG107" si="253">+IF(AB104="OK",1,0)</f>
        <v>1</v>
      </c>
      <c r="AF104" s="48">
        <f t="shared" si="253"/>
        <v>1</v>
      </c>
      <c r="AG104" s="48">
        <f t="shared" si="253"/>
        <v>1</v>
      </c>
      <c r="AH104" s="48">
        <f t="shared" ref="AH104:AH107" si="254">SUM(AE104:AG104)</f>
        <v>3</v>
      </c>
      <c r="AI104" s="46">
        <f t="shared" ref="AI104:AI107" si="255">IF(AH104=3,2*$B$7+U104,0)</f>
        <v>0.68199999999999994</v>
      </c>
      <c r="AJ104" s="20">
        <f>IF(AI104&gt;0,I104*VLOOKUP(T104,'$ alcantarillado'!$I$6:$K$22,3),0)</f>
        <v>2654586.666666667</v>
      </c>
      <c r="AK104" s="20">
        <f t="shared" si="226"/>
        <v>4306911.8400000036</v>
      </c>
      <c r="AL104" s="20">
        <f t="shared" si="227"/>
        <v>1924333.6170000019</v>
      </c>
      <c r="AM104" s="20">
        <f t="shared" si="241"/>
        <v>8885832.123666672</v>
      </c>
      <c r="AN104" s="50">
        <f>+AP78</f>
        <v>31004357.427666694</v>
      </c>
      <c r="AO104" s="78">
        <f t="shared" si="87"/>
        <v>39890189.551333368</v>
      </c>
      <c r="AP104" s="214"/>
      <c r="AQ104" s="2">
        <v>1</v>
      </c>
      <c r="AR104" s="9">
        <v>2</v>
      </c>
    </row>
    <row r="105" spans="1:44" x14ac:dyDescent="0.25">
      <c r="A105" s="211"/>
      <c r="B105" s="211"/>
      <c r="C105" s="211"/>
      <c r="D105" s="211"/>
      <c r="E105" s="56">
        <v>3</v>
      </c>
      <c r="F105" s="35">
        <f>+H83</f>
        <v>46.39</v>
      </c>
      <c r="G105" s="56">
        <v>2</v>
      </c>
      <c r="H105" s="35">
        <f t="shared" ref="H105:H106" si="256">+H104</f>
        <v>46.015000000000001</v>
      </c>
      <c r="I105" s="2">
        <f t="shared" ref="I105:I106" si="257">+I104</f>
        <v>80</v>
      </c>
      <c r="J105" s="18">
        <f t="shared" si="229"/>
        <v>4.6874999999999998E-3</v>
      </c>
      <c r="K105" s="2">
        <f t="shared" ref="K105:K106" si="258">+K104</f>
        <v>1281</v>
      </c>
      <c r="L105" s="15">
        <f t="shared" si="230"/>
        <v>15.573399999999999</v>
      </c>
      <c r="M105" s="33">
        <f t="shared" si="246"/>
        <v>1.5573399999999999E-2</v>
      </c>
      <c r="N105" s="33">
        <f t="shared" si="189"/>
        <v>0.15801510047155756</v>
      </c>
      <c r="O105" s="33">
        <f t="shared" si="190"/>
        <v>6.2210669476991169</v>
      </c>
      <c r="P105" s="58">
        <f t="shared" si="195"/>
        <v>8</v>
      </c>
      <c r="Q105" s="55">
        <f>IF(O105&gt;0,VLOOKUP(P105,'$ alcantarillado'!$I$5:$L$22,4,FALSE),"0")</f>
        <v>0.182</v>
      </c>
      <c r="R105" s="55">
        <f t="shared" si="191"/>
        <v>2.2700960280449212E-2</v>
      </c>
      <c r="S105" s="35">
        <f t="shared" si="192"/>
        <v>0.68602384249851789</v>
      </c>
      <c r="T105" s="58">
        <f>+IF(S105&gt;$B$13,VLOOKUP(P105,'$ alcantarillado'!$I$6:$N$22,5),P105)</f>
        <v>8</v>
      </c>
      <c r="U105" s="55">
        <f>IF(O105&gt;0,VLOOKUP(T105,'$ alcantarillado'!$I$5:$L$22,4),"0")</f>
        <v>0.182</v>
      </c>
      <c r="V105" s="55">
        <f t="shared" si="193"/>
        <v>2.2700960280449212E-2</v>
      </c>
      <c r="W105" s="35">
        <f t="shared" si="194"/>
        <v>0.68602384249851789</v>
      </c>
      <c r="X105" s="35">
        <f t="shared" si="247"/>
        <v>0.87259269208218104</v>
      </c>
      <c r="Y105" s="55">
        <f>IF(T105&gt;0,(VLOOKUP($W105,Relaciones!$A$4:$D$108,2)),"")</f>
        <v>0.93600000000000005</v>
      </c>
      <c r="Z105" s="35">
        <f t="shared" si="248"/>
        <v>0.81674675978892153</v>
      </c>
      <c r="AA105" s="35">
        <f t="shared" si="249"/>
        <v>0.21328125000000001</v>
      </c>
      <c r="AB105" s="46" t="str">
        <f t="shared" si="250"/>
        <v>OK</v>
      </c>
      <c r="AC105" s="46" t="str">
        <f t="shared" si="251"/>
        <v>OK</v>
      </c>
      <c r="AD105" s="46" t="str">
        <f t="shared" si="252"/>
        <v>OK</v>
      </c>
      <c r="AE105" s="48">
        <f t="shared" si="253"/>
        <v>1</v>
      </c>
      <c r="AF105" s="48">
        <f t="shared" si="253"/>
        <v>1</v>
      </c>
      <c r="AG105" s="48">
        <f t="shared" si="253"/>
        <v>1</v>
      </c>
      <c r="AH105" s="48">
        <f t="shared" si="254"/>
        <v>3</v>
      </c>
      <c r="AI105" s="46">
        <f t="shared" si="255"/>
        <v>0.68199999999999994</v>
      </c>
      <c r="AJ105" s="20">
        <f>IF(AI105&gt;0,I105*VLOOKUP(T105,'$ alcantarillado'!$I$6:$K$22,3),0)</f>
        <v>2654586.666666667</v>
      </c>
      <c r="AK105" s="20">
        <f t="shared" si="226"/>
        <v>4429671.8400000036</v>
      </c>
      <c r="AL105" s="20">
        <f t="shared" si="227"/>
        <v>2011581.2420000019</v>
      </c>
      <c r="AM105" s="20">
        <f t="shared" si="241"/>
        <v>9095839.748666672</v>
      </c>
      <c r="AN105" s="50">
        <f>+AP83</f>
        <v>31065737.427666698</v>
      </c>
      <c r="AO105" s="78">
        <f t="shared" si="87"/>
        <v>40161577.176333368</v>
      </c>
      <c r="AP105" s="215"/>
      <c r="AQ105" s="2"/>
      <c r="AR105" s="9"/>
    </row>
    <row r="106" spans="1:44" x14ac:dyDescent="0.25">
      <c r="A106" s="211"/>
      <c r="B106" s="211"/>
      <c r="C106" s="211"/>
      <c r="D106" s="211"/>
      <c r="E106" s="56">
        <v>4</v>
      </c>
      <c r="F106" s="35">
        <f>+H88</f>
        <v>46.265000000000001</v>
      </c>
      <c r="G106" s="56">
        <v>2</v>
      </c>
      <c r="H106" s="35">
        <f t="shared" si="256"/>
        <v>46.015000000000001</v>
      </c>
      <c r="I106" s="2">
        <f t="shared" si="257"/>
        <v>80</v>
      </c>
      <c r="J106" s="18">
        <f>+(F106-H106)/I106</f>
        <v>3.1250000000000002E-3</v>
      </c>
      <c r="K106" s="2">
        <f t="shared" si="258"/>
        <v>1281</v>
      </c>
      <c r="L106" s="15">
        <f t="shared" si="230"/>
        <v>15.573399999999999</v>
      </c>
      <c r="M106" s="33">
        <f t="shared" si="246"/>
        <v>1.5573399999999999E-2</v>
      </c>
      <c r="N106" s="33">
        <f t="shared" si="189"/>
        <v>0.17049659209910337</v>
      </c>
      <c r="O106" s="33">
        <f t="shared" si="190"/>
        <v>6.7124642558702119</v>
      </c>
      <c r="P106" s="58">
        <f t="shared" si="195"/>
        <v>8</v>
      </c>
      <c r="Q106" s="55">
        <f>IF(O106&gt;0,VLOOKUP(P106,'$ alcantarillado'!$I$5:$L$22,4,FALSE),"0")</f>
        <v>0.182</v>
      </c>
      <c r="R106" s="55">
        <f t="shared" si="191"/>
        <v>1.8535256452762897E-2</v>
      </c>
      <c r="S106" s="35">
        <f t="shared" si="192"/>
        <v>0.84020418275241082</v>
      </c>
      <c r="T106" s="58">
        <f>+IF(S106&gt;$B$13,VLOOKUP(P106,'$ alcantarillado'!$I$6:$N$22,5),P106)</f>
        <v>8</v>
      </c>
      <c r="U106" s="55">
        <f>IF(O106&gt;0,VLOOKUP(T106,'$ alcantarillado'!$I$5:$L$22,4),"0")</f>
        <v>0.182</v>
      </c>
      <c r="V106" s="55">
        <f t="shared" si="193"/>
        <v>1.8535256452762897E-2</v>
      </c>
      <c r="W106" s="35">
        <f t="shared" si="194"/>
        <v>0.84020418275241082</v>
      </c>
      <c r="X106" s="35">
        <f t="shared" si="247"/>
        <v>0.71246894962762097</v>
      </c>
      <c r="Y106" s="55">
        <f>IF(T106&gt;0,(VLOOKUP($W106,Relaciones!$A$4:$D$108,2)),"")</f>
        <v>0.997</v>
      </c>
      <c r="Z106" s="35">
        <f t="shared" si="248"/>
        <v>0.71033154277873811</v>
      </c>
      <c r="AA106" s="35">
        <f t="shared" si="249"/>
        <v>0.14218749999999999</v>
      </c>
      <c r="AB106" s="46" t="str">
        <f t="shared" si="250"/>
        <v>OK</v>
      </c>
      <c r="AC106" s="46" t="str">
        <f t="shared" si="251"/>
        <v>OK</v>
      </c>
      <c r="AD106" s="46" t="str">
        <f t="shared" si="252"/>
        <v>No Cumple</v>
      </c>
      <c r="AE106" s="48">
        <f t="shared" si="253"/>
        <v>1</v>
      </c>
      <c r="AF106" s="48">
        <f t="shared" si="253"/>
        <v>1</v>
      </c>
      <c r="AG106" s="48">
        <f t="shared" si="253"/>
        <v>0</v>
      </c>
      <c r="AH106" s="48">
        <f t="shared" si="254"/>
        <v>2</v>
      </c>
      <c r="AI106" s="46">
        <f t="shared" si="255"/>
        <v>0</v>
      </c>
      <c r="AJ106" s="20">
        <f>IF(AI106&gt;0,I106*VLOOKUP(T106,'$ alcantarillado'!$I$6:$K$22,3),0)</f>
        <v>0</v>
      </c>
      <c r="AK106" s="20">
        <f t="shared" si="226"/>
        <v>0</v>
      </c>
      <c r="AL106" s="20">
        <f t="shared" si="227"/>
        <v>0</v>
      </c>
      <c r="AM106" s="20">
        <f t="shared" si="241"/>
        <v>0</v>
      </c>
      <c r="AN106" s="50">
        <f>+AP88</f>
        <v>31125253.832333364</v>
      </c>
      <c r="AO106" s="78" t="str">
        <f t="shared" si="87"/>
        <v/>
      </c>
      <c r="AP106" s="215"/>
      <c r="AQ106" s="2"/>
      <c r="AR106" s="9"/>
    </row>
    <row r="107" spans="1:44" ht="15.75" thickBot="1" x14ac:dyDescent="0.3">
      <c r="A107" s="211"/>
      <c r="B107" s="211"/>
      <c r="C107" s="211"/>
      <c r="D107" s="211"/>
      <c r="E107" s="6">
        <v>5</v>
      </c>
      <c r="F107" s="65">
        <f>+H93</f>
        <v>46.14</v>
      </c>
      <c r="G107" s="6">
        <v>2</v>
      </c>
      <c r="H107" s="65">
        <f>+H106</f>
        <v>46.015000000000001</v>
      </c>
      <c r="I107" s="10">
        <f>+I106</f>
        <v>80</v>
      </c>
      <c r="J107" s="19">
        <f t="shared" si="229"/>
        <v>1.5625000000000001E-3</v>
      </c>
      <c r="K107" s="10">
        <f>+K106</f>
        <v>1281</v>
      </c>
      <c r="L107" s="16">
        <f t="shared" si="230"/>
        <v>15.573399999999999</v>
      </c>
      <c r="M107" s="34">
        <f t="shared" si="246"/>
        <v>1.5573399999999999E-2</v>
      </c>
      <c r="N107" s="34">
        <f t="shared" si="189"/>
        <v>0.19415958134720646</v>
      </c>
      <c r="O107" s="34">
        <f t="shared" si="190"/>
        <v>7.6440780057955298</v>
      </c>
      <c r="P107" s="59">
        <f t="shared" si="195"/>
        <v>8</v>
      </c>
      <c r="Q107" s="55">
        <f>IF(O107&gt;0,VLOOKUP(P107,'$ alcantarillado'!$I$5:$L$22,4,FALSE),"0")</f>
        <v>0.182</v>
      </c>
      <c r="R107" s="47">
        <f t="shared" si="191"/>
        <v>1.3106405528780356E-2</v>
      </c>
      <c r="S107" s="35">
        <f t="shared" si="192"/>
        <v>1.1882281504110619</v>
      </c>
      <c r="T107" s="58">
        <f>+IF(S107&gt;$B$13,VLOOKUP(P107,'$ alcantarillado'!$I$6:$N$22,5),P107)</f>
        <v>10</v>
      </c>
      <c r="U107" s="55">
        <f>IF(O107&gt;0,VLOOKUP(T107,'$ alcantarillado'!$I$5:$L$22,4),"0")</f>
        <v>0.22700000000000001</v>
      </c>
      <c r="V107" s="55">
        <f t="shared" si="193"/>
        <v>2.3624476083504924E-2</v>
      </c>
      <c r="W107" s="35">
        <f t="shared" si="194"/>
        <v>0.65920615318422471</v>
      </c>
      <c r="X107" s="35">
        <f t="shared" si="247"/>
        <v>0.5837415275508655</v>
      </c>
      <c r="Y107" s="55">
        <f>IF(T107&gt;0,(VLOOKUP($W107,Relaciones!$A$4:$D$108,2)),"")</f>
        <v>0.92200000000000004</v>
      </c>
      <c r="Z107" s="35">
        <f t="shared" si="248"/>
        <v>0.53820968840189798</v>
      </c>
      <c r="AA107" s="35">
        <f t="shared" si="249"/>
        <v>8.8671875000000011E-2</v>
      </c>
      <c r="AB107" s="46" t="str">
        <f t="shared" si="250"/>
        <v>OK</v>
      </c>
      <c r="AC107" s="46" t="str">
        <f t="shared" si="251"/>
        <v>OK</v>
      </c>
      <c r="AD107" s="46" t="str">
        <f t="shared" si="252"/>
        <v>No Cumple</v>
      </c>
      <c r="AE107" s="48">
        <f t="shared" si="253"/>
        <v>1</v>
      </c>
      <c r="AF107" s="48">
        <f t="shared" si="253"/>
        <v>1</v>
      </c>
      <c r="AG107" s="48">
        <f t="shared" si="253"/>
        <v>0</v>
      </c>
      <c r="AH107" s="48">
        <f t="shared" si="254"/>
        <v>2</v>
      </c>
      <c r="AI107" s="46">
        <f t="shared" si="255"/>
        <v>0</v>
      </c>
      <c r="AJ107" s="22">
        <f>IF(AI107&gt;0,I107*VLOOKUP(T107,'$ alcantarillado'!$I$6:$K$22,3),0)</f>
        <v>0</v>
      </c>
      <c r="AK107" s="20">
        <f t="shared" si="226"/>
        <v>0</v>
      </c>
      <c r="AL107" s="20">
        <f t="shared" si="227"/>
        <v>0</v>
      </c>
      <c r="AM107" s="22">
        <f t="shared" si="241"/>
        <v>0</v>
      </c>
      <c r="AN107" s="51">
        <f>+AP93</f>
        <v>30165020.957333364</v>
      </c>
      <c r="AO107" s="79" t="str">
        <f t="shared" si="87"/>
        <v/>
      </c>
      <c r="AP107" s="216"/>
      <c r="AQ107" s="10"/>
      <c r="AR107" s="11"/>
    </row>
    <row r="108" spans="1:44" x14ac:dyDescent="0.25">
      <c r="A108" s="211"/>
      <c r="B108" s="211"/>
      <c r="C108" s="211"/>
      <c r="D108" s="211"/>
      <c r="E108" s="4">
        <v>1</v>
      </c>
      <c r="F108" s="27">
        <f>+H73</f>
        <v>46.64</v>
      </c>
      <c r="G108" s="4">
        <v>3</v>
      </c>
      <c r="H108" s="7">
        <f>+'LOGIKA AN-1'!H115</f>
        <v>45.89</v>
      </c>
      <c r="I108" s="7">
        <f t="shared" ref="I108" si="259">+I107</f>
        <v>80</v>
      </c>
      <c r="J108" s="18">
        <f>+(F108-H108)/I108</f>
        <v>9.3749999999999997E-3</v>
      </c>
      <c r="K108" s="7">
        <f t="shared" ref="K108" si="260">+K107</f>
        <v>1281</v>
      </c>
      <c r="L108" s="14">
        <f>IF(K108&lt;38,K108^0.3686*0.7401,IF(K108&lt;235,K108^0.4193*0.6215,IF(K108&lt;932,K108*0.0092+4.2493,K108*0.0069+6.7345)))</f>
        <v>15.573399999999999</v>
      </c>
      <c r="M108" s="31">
        <f>+L108/1000</f>
        <v>1.5573399999999999E-2</v>
      </c>
      <c r="N108" s="31">
        <f t="shared" si="189"/>
        <v>0.13875718078738841</v>
      </c>
      <c r="O108" s="31">
        <f t="shared" si="190"/>
        <v>5.4628811333617486</v>
      </c>
      <c r="P108" s="57">
        <f t="shared" si="195"/>
        <v>6</v>
      </c>
      <c r="Q108" s="60">
        <f>IF(O108&gt;0,VLOOKUP(P108,'$ alcantarillado'!$I$5:$L$22,4,FALSE),"0")</f>
        <v>0.14499999999999999</v>
      </c>
      <c r="R108" s="60">
        <f t="shared" si="191"/>
        <v>1.7512582651542437E-2</v>
      </c>
      <c r="S108" s="27">
        <f t="shared" si="192"/>
        <v>0.88926917918804838</v>
      </c>
      <c r="T108" s="57">
        <f>+IF(S108&gt;$B$13,VLOOKUP(P108,'$ alcantarillado'!$I$6:$N$22,5),P108)</f>
        <v>8</v>
      </c>
      <c r="U108" s="60">
        <f>IF(O108&gt;0,VLOOKUP(T108,'$ alcantarillado'!$I$5:$L$22,4),"0")</f>
        <v>0.182</v>
      </c>
      <c r="V108" s="60">
        <f t="shared" si="193"/>
        <v>3.2104005907504223E-2</v>
      </c>
      <c r="W108" s="27">
        <f t="shared" si="194"/>
        <v>0.48509211108635386</v>
      </c>
      <c r="X108" s="27">
        <f>IF(T108&gt;0,4*V108/(PI()*(U108)^2),"")</f>
        <v>1.2340324195702708</v>
      </c>
      <c r="Y108" s="60">
        <f>IF(T108&gt;0,(VLOOKUP($W108,Relaciones!$A$4:$D$108,2)),"")</f>
        <v>0.84</v>
      </c>
      <c r="Z108" s="27">
        <f>IF(T108&gt;0,Y108*X108,"")</f>
        <v>1.0365872324390275</v>
      </c>
      <c r="AA108" s="27">
        <f>IF(T108&gt;0,250*U108*J108,"")</f>
        <v>0.42656250000000001</v>
      </c>
      <c r="AB108" s="45" t="str">
        <f>IF(T108&gt;0,IF(W108&lt;=$B$13,"OK","No Cumple"),"")</f>
        <v>OK</v>
      </c>
      <c r="AC108" s="45" t="str">
        <f>IF(T108&gt;0,IF(Z108&gt;=$B$12,"OK","No Cumple"),"")</f>
        <v>OK</v>
      </c>
      <c r="AD108" s="45" t="str">
        <f>IF(T108&gt;0,IF(AA108&gt;$B$14,"OK","No Cumple"),"")</f>
        <v>OK</v>
      </c>
      <c r="AE108" s="32">
        <f>+IF(AB108="OK",1,0)</f>
        <v>1</v>
      </c>
      <c r="AF108" s="32">
        <f>+IF(AC108="OK",1,0)</f>
        <v>1</v>
      </c>
      <c r="AG108" s="32">
        <f>+IF(AD108="OK",1,0)</f>
        <v>1</v>
      </c>
      <c r="AH108" s="32">
        <f>SUM(AE108:AG108)</f>
        <v>3</v>
      </c>
      <c r="AI108" s="45">
        <f>IF(AH108=3,2*$B$7+U108,0)</f>
        <v>0.68199999999999994</v>
      </c>
      <c r="AJ108" s="21">
        <f>IF(AI108&gt;0,I108*VLOOKUP(T108,'$ alcantarillado'!$I$6:$K$22,3),0)</f>
        <v>2654586.666666667</v>
      </c>
      <c r="AK108" s="61">
        <f t="shared" si="226"/>
        <v>4245531.8400000036</v>
      </c>
      <c r="AL108" s="61">
        <f t="shared" si="227"/>
        <v>1837085.9920000019</v>
      </c>
      <c r="AM108" s="21">
        <f>IF(AJ108&gt;0,AJ108+AK108+AL108,0)</f>
        <v>8737204.498666672</v>
      </c>
      <c r="AN108" s="49">
        <f>IF(AP73&gt;0,+AP73,0)</f>
        <v>30942977.427666694</v>
      </c>
      <c r="AO108" s="77">
        <f>IF((AM108)&gt;0,IF(AN108&gt;0,AM108+AN108,""),"")</f>
        <v>39680181.926333368</v>
      </c>
      <c r="AP108" s="213">
        <f t="shared" ref="AP108" si="261">+MIN(AO108:AO112)</f>
        <v>39680181.926333368</v>
      </c>
      <c r="AQ108" s="7"/>
      <c r="AR108" s="8"/>
    </row>
    <row r="109" spans="1:44" x14ac:dyDescent="0.25">
      <c r="A109" s="211"/>
      <c r="B109" s="211"/>
      <c r="C109" s="211"/>
      <c r="D109" s="211"/>
      <c r="E109" s="5">
        <v>2</v>
      </c>
      <c r="F109" s="35">
        <f>+H78</f>
        <v>46.515000000000001</v>
      </c>
      <c r="G109" s="5">
        <v>3</v>
      </c>
      <c r="H109" s="2">
        <f>+H108</f>
        <v>45.89</v>
      </c>
      <c r="I109" s="2">
        <f>+I108</f>
        <v>80</v>
      </c>
      <c r="J109" s="18">
        <f t="shared" si="229"/>
        <v>7.8125E-3</v>
      </c>
      <c r="K109" s="2">
        <f>+K108</f>
        <v>1281</v>
      </c>
      <c r="L109" s="15">
        <f t="shared" si="230"/>
        <v>15.573399999999999</v>
      </c>
      <c r="M109" s="33">
        <f t="shared" ref="M109:M112" si="262">+L109/1000</f>
        <v>1.5573399999999999E-2</v>
      </c>
      <c r="N109" s="33">
        <f t="shared" si="189"/>
        <v>0.14358264555199565</v>
      </c>
      <c r="O109" s="33">
        <f t="shared" si="190"/>
        <v>5.6528600611021913</v>
      </c>
      <c r="P109" s="58">
        <f t="shared" si="195"/>
        <v>6</v>
      </c>
      <c r="Q109" s="55">
        <f>IF(O109&gt;0,VLOOKUP(P109,'$ alcantarillado'!$I$5:$L$22,4,FALSE),"0")</f>
        <v>0.14499999999999999</v>
      </c>
      <c r="R109" s="55">
        <f t="shared" si="191"/>
        <v>1.5986727597372376E-2</v>
      </c>
      <c r="S109" s="35">
        <f t="shared" si="192"/>
        <v>0.97414557827079551</v>
      </c>
      <c r="T109" s="58">
        <f>+IF(S109&gt;$B$13,VLOOKUP(P109,'$ alcantarillado'!$I$6:$N$22,5),P109)</f>
        <v>8</v>
      </c>
      <c r="U109" s="55">
        <f>IF(O109&gt;0,VLOOKUP(T109,'$ alcantarillado'!$I$5:$L$22,4),"0")</f>
        <v>0.182</v>
      </c>
      <c r="V109" s="55">
        <f t="shared" si="193"/>
        <v>2.9306813703031953E-2</v>
      </c>
      <c r="W109" s="35">
        <f t="shared" si="194"/>
        <v>0.53139178341959581</v>
      </c>
      <c r="X109" s="35">
        <f t="shared" ref="X109:X112" si="263">IF(T109&gt;0,4*V109/(PI()*(U109)^2),"")</f>
        <v>1.1265123214855279</v>
      </c>
      <c r="Y109" s="55">
        <f>IF(T109&gt;0,(VLOOKUP($W109,Relaciones!$A$4:$D$108,2)),"")</f>
        <v>0.86499999999999999</v>
      </c>
      <c r="Z109" s="35">
        <f t="shared" ref="Z109:Z112" si="264">IF(T109&gt;0,Y109*X109,"")</f>
        <v>0.97443315808498165</v>
      </c>
      <c r="AA109" s="35">
        <f t="shared" ref="AA109:AA112" si="265">IF(T109&gt;0,250*U109*J109,"")</f>
        <v>0.35546875</v>
      </c>
      <c r="AB109" s="46" t="str">
        <f t="shared" ref="AB109:AB112" si="266">IF(T109&gt;0,IF(W109&lt;=$B$13,"OK","No Cumple"),"")</f>
        <v>OK</v>
      </c>
      <c r="AC109" s="46" t="str">
        <f t="shared" ref="AC109:AC112" si="267">IF(T109&gt;0,IF(Z109&gt;=$B$12,"OK","No Cumple"),"")</f>
        <v>OK</v>
      </c>
      <c r="AD109" s="46" t="str">
        <f t="shared" ref="AD109:AD112" si="268">IF(T109&gt;0,IF(AA109&gt;$B$14,"OK","No Cumple"),"")</f>
        <v>OK</v>
      </c>
      <c r="AE109" s="48">
        <f t="shared" ref="AE109:AG112" si="269">+IF(AB109="OK",1,0)</f>
        <v>1</v>
      </c>
      <c r="AF109" s="48">
        <f t="shared" si="269"/>
        <v>1</v>
      </c>
      <c r="AG109" s="48">
        <f t="shared" si="269"/>
        <v>1</v>
      </c>
      <c r="AH109" s="48">
        <f t="shared" ref="AH109:AH112" si="270">SUM(AE109:AG109)</f>
        <v>3</v>
      </c>
      <c r="AI109" s="46">
        <f t="shared" ref="AI109:AI112" si="271">IF(AH109=3,2*$B$7+U109,0)</f>
        <v>0.68199999999999994</v>
      </c>
      <c r="AJ109" s="20">
        <f>IF(AI109&gt;0,I109*VLOOKUP(T109,'$ alcantarillado'!$I$6:$K$22,3),0)</f>
        <v>2654586.666666667</v>
      </c>
      <c r="AK109" s="20">
        <f t="shared" si="226"/>
        <v>4368291.8400000036</v>
      </c>
      <c r="AL109" s="20">
        <f t="shared" si="227"/>
        <v>1924333.6170000019</v>
      </c>
      <c r="AM109" s="20">
        <f t="shared" si="241"/>
        <v>8947212.123666672</v>
      </c>
      <c r="AN109" s="50">
        <f>+AP78</f>
        <v>31004357.427666694</v>
      </c>
      <c r="AO109" s="78">
        <f t="shared" si="87"/>
        <v>39951569.551333368</v>
      </c>
      <c r="AP109" s="214"/>
      <c r="AQ109" s="2"/>
      <c r="AR109" s="9"/>
    </row>
    <row r="110" spans="1:44" x14ac:dyDescent="0.25">
      <c r="A110" s="211"/>
      <c r="B110" s="211"/>
      <c r="C110" s="211"/>
      <c r="D110" s="211"/>
      <c r="E110" s="56">
        <v>3</v>
      </c>
      <c r="F110" s="35">
        <f>+H83</f>
        <v>46.39</v>
      </c>
      <c r="G110" s="56">
        <v>3</v>
      </c>
      <c r="H110" s="2">
        <f t="shared" ref="H110:H111" si="272">+H109</f>
        <v>45.89</v>
      </c>
      <c r="I110" s="2">
        <f t="shared" ref="I110:I111" si="273">+I109</f>
        <v>80</v>
      </c>
      <c r="J110" s="18">
        <f t="shared" si="229"/>
        <v>6.2500000000000003E-3</v>
      </c>
      <c r="K110" s="2">
        <f t="shared" ref="K110:K111" si="274">+K109</f>
        <v>1281</v>
      </c>
      <c r="L110" s="15">
        <f t="shared" si="230"/>
        <v>15.573399999999999</v>
      </c>
      <c r="M110" s="33">
        <f t="shared" si="262"/>
        <v>1.5573399999999999E-2</v>
      </c>
      <c r="N110" s="33">
        <f t="shared" si="189"/>
        <v>0.14971750410516779</v>
      </c>
      <c r="O110" s="33">
        <f t="shared" si="190"/>
        <v>5.8943899254003069</v>
      </c>
      <c r="P110" s="58">
        <f t="shared" si="195"/>
        <v>6</v>
      </c>
      <c r="Q110" s="55">
        <f>IF(O110&gt;0,VLOOKUP(P110,'$ alcantarillado'!$I$5:$L$22,4,FALSE),"0")</f>
        <v>0.14499999999999999</v>
      </c>
      <c r="R110" s="55">
        <f t="shared" si="191"/>
        <v>1.4298963858198607E-2</v>
      </c>
      <c r="S110" s="35">
        <f t="shared" si="192"/>
        <v>1.0891278664971706</v>
      </c>
      <c r="T110" s="58">
        <f>+IF(S110&gt;$B$13,VLOOKUP(P110,'$ alcantarillado'!$I$6:$N$22,5),P110)</f>
        <v>8</v>
      </c>
      <c r="U110" s="55">
        <f>IF(O110&gt;0,VLOOKUP(T110,'$ alcantarillado'!$I$5:$L$22,4),"0")</f>
        <v>0.182</v>
      </c>
      <c r="V110" s="55">
        <f t="shared" si="193"/>
        <v>2.6212811057560712E-2</v>
      </c>
      <c r="W110" s="35">
        <f t="shared" si="194"/>
        <v>0.59411407520553094</v>
      </c>
      <c r="X110" s="35">
        <f t="shared" si="263"/>
        <v>1.0075832513330949</v>
      </c>
      <c r="Y110" s="55">
        <f>IF(T110&gt;0,(VLOOKUP($W110,Relaciones!$A$4:$D$108,2)),"")</f>
        <v>0.89500000000000002</v>
      </c>
      <c r="Z110" s="35">
        <f t="shared" si="264"/>
        <v>0.90178700994312</v>
      </c>
      <c r="AA110" s="35">
        <f t="shared" si="265"/>
        <v>0.28437499999999999</v>
      </c>
      <c r="AB110" s="46" t="str">
        <f t="shared" si="266"/>
        <v>OK</v>
      </c>
      <c r="AC110" s="46" t="str">
        <f t="shared" si="267"/>
        <v>OK</v>
      </c>
      <c r="AD110" s="46" t="str">
        <f t="shared" si="268"/>
        <v>OK</v>
      </c>
      <c r="AE110" s="48">
        <f t="shared" si="269"/>
        <v>1</v>
      </c>
      <c r="AF110" s="48">
        <f t="shared" si="269"/>
        <v>1</v>
      </c>
      <c r="AG110" s="48">
        <f t="shared" si="269"/>
        <v>1</v>
      </c>
      <c r="AH110" s="48">
        <f t="shared" si="270"/>
        <v>3</v>
      </c>
      <c r="AI110" s="46">
        <f t="shared" si="271"/>
        <v>0.68199999999999994</v>
      </c>
      <c r="AJ110" s="20">
        <f>IF(AI110&gt;0,I110*VLOOKUP(T110,'$ alcantarillado'!$I$6:$K$22,3),0)</f>
        <v>2654586.666666667</v>
      </c>
      <c r="AK110" s="20">
        <f t="shared" si="226"/>
        <v>4491051.8400000036</v>
      </c>
      <c r="AL110" s="20">
        <f t="shared" si="227"/>
        <v>2011581.2420000019</v>
      </c>
      <c r="AM110" s="20">
        <f t="shared" si="241"/>
        <v>9157219.748666672</v>
      </c>
      <c r="AN110" s="50">
        <f>+AP83</f>
        <v>31065737.427666698</v>
      </c>
      <c r="AO110" s="78">
        <f t="shared" si="87"/>
        <v>40222957.176333368</v>
      </c>
      <c r="AP110" s="215"/>
      <c r="AQ110" s="2"/>
      <c r="AR110" s="9"/>
    </row>
    <row r="111" spans="1:44" x14ac:dyDescent="0.25">
      <c r="A111" s="211"/>
      <c r="B111" s="211"/>
      <c r="C111" s="211"/>
      <c r="D111" s="211"/>
      <c r="E111" s="56">
        <v>4</v>
      </c>
      <c r="F111" s="35">
        <f>+H88</f>
        <v>46.265000000000001</v>
      </c>
      <c r="G111" s="56">
        <v>3</v>
      </c>
      <c r="H111" s="2">
        <f t="shared" si="272"/>
        <v>45.89</v>
      </c>
      <c r="I111" s="2">
        <f t="shared" si="273"/>
        <v>80</v>
      </c>
      <c r="J111" s="18">
        <f>+(F111-H111)/I111</f>
        <v>4.6874999999999998E-3</v>
      </c>
      <c r="K111" s="2">
        <f t="shared" si="274"/>
        <v>1281</v>
      </c>
      <c r="L111" s="15">
        <f t="shared" si="230"/>
        <v>15.573399999999999</v>
      </c>
      <c r="M111" s="33">
        <f t="shared" si="262"/>
        <v>1.5573399999999999E-2</v>
      </c>
      <c r="N111" s="33">
        <f t="shared" si="189"/>
        <v>0.15801510047155756</v>
      </c>
      <c r="O111" s="33">
        <f t="shared" si="190"/>
        <v>6.2210669476991169</v>
      </c>
      <c r="P111" s="58">
        <f t="shared" si="195"/>
        <v>8</v>
      </c>
      <c r="Q111" s="55">
        <f>IF(O111&gt;0,VLOOKUP(P111,'$ alcantarillado'!$I$5:$L$22,4,FALSE),"0")</f>
        <v>0.182</v>
      </c>
      <c r="R111" s="55">
        <f t="shared" si="191"/>
        <v>2.2700960280449212E-2</v>
      </c>
      <c r="S111" s="35">
        <f t="shared" si="192"/>
        <v>0.68602384249851789</v>
      </c>
      <c r="T111" s="58">
        <f>+IF(S111&gt;$B$13,VLOOKUP(P111,'$ alcantarillado'!$I$6:$N$22,5),P111)</f>
        <v>8</v>
      </c>
      <c r="U111" s="55">
        <f>IF(O111&gt;0,VLOOKUP(T111,'$ alcantarillado'!$I$5:$L$22,4),"0")</f>
        <v>0.182</v>
      </c>
      <c r="V111" s="55">
        <f t="shared" si="193"/>
        <v>2.2700960280449212E-2</v>
      </c>
      <c r="W111" s="35">
        <f t="shared" si="194"/>
        <v>0.68602384249851789</v>
      </c>
      <c r="X111" s="35">
        <f t="shared" si="263"/>
        <v>0.87259269208218104</v>
      </c>
      <c r="Y111" s="55">
        <f>IF(T111&gt;0,(VLOOKUP($W111,Relaciones!$A$4:$D$108,2)),"")</f>
        <v>0.93600000000000005</v>
      </c>
      <c r="Z111" s="35">
        <f t="shared" si="264"/>
        <v>0.81674675978892153</v>
      </c>
      <c r="AA111" s="35">
        <f t="shared" si="265"/>
        <v>0.21328125000000001</v>
      </c>
      <c r="AB111" s="46" t="str">
        <f t="shared" si="266"/>
        <v>OK</v>
      </c>
      <c r="AC111" s="46" t="str">
        <f t="shared" si="267"/>
        <v>OK</v>
      </c>
      <c r="AD111" s="46" t="str">
        <f t="shared" si="268"/>
        <v>OK</v>
      </c>
      <c r="AE111" s="48">
        <f t="shared" si="269"/>
        <v>1</v>
      </c>
      <c r="AF111" s="48">
        <f t="shared" si="269"/>
        <v>1</v>
      </c>
      <c r="AG111" s="48">
        <f t="shared" si="269"/>
        <v>1</v>
      </c>
      <c r="AH111" s="48">
        <f t="shared" si="270"/>
        <v>3</v>
      </c>
      <c r="AI111" s="46">
        <f t="shared" si="271"/>
        <v>0.68199999999999994</v>
      </c>
      <c r="AJ111" s="20">
        <f>IF(AI111&gt;0,I111*VLOOKUP(T111,'$ alcantarillado'!$I$6:$K$22,3),0)</f>
        <v>2654586.666666667</v>
      </c>
      <c r="AK111" s="20">
        <f t="shared" si="226"/>
        <v>4613811.8400000045</v>
      </c>
      <c r="AL111" s="20">
        <f t="shared" si="227"/>
        <v>2098828.8670000019</v>
      </c>
      <c r="AM111" s="20">
        <f t="shared" si="241"/>
        <v>9367227.3736666739</v>
      </c>
      <c r="AN111" s="50">
        <f>+AP88</f>
        <v>31125253.832333364</v>
      </c>
      <c r="AO111" s="78">
        <f t="shared" si="87"/>
        <v>40492481.206000037</v>
      </c>
      <c r="AP111" s="215"/>
      <c r="AQ111" s="2">
        <v>1</v>
      </c>
      <c r="AR111" s="9">
        <v>3</v>
      </c>
    </row>
    <row r="112" spans="1:44" ht="15.75" thickBot="1" x14ac:dyDescent="0.3">
      <c r="A112" s="211"/>
      <c r="B112" s="211"/>
      <c r="C112" s="211"/>
      <c r="D112" s="211"/>
      <c r="E112" s="6">
        <v>5</v>
      </c>
      <c r="F112" s="65">
        <f>+H93</f>
        <v>46.14</v>
      </c>
      <c r="G112" s="6">
        <v>3</v>
      </c>
      <c r="H112" s="10">
        <f>+H111</f>
        <v>45.89</v>
      </c>
      <c r="I112" s="10">
        <f>+I111</f>
        <v>80</v>
      </c>
      <c r="J112" s="19">
        <f t="shared" si="229"/>
        <v>3.1250000000000002E-3</v>
      </c>
      <c r="K112" s="10">
        <f>+K111</f>
        <v>1281</v>
      </c>
      <c r="L112" s="16">
        <f t="shared" si="230"/>
        <v>15.573399999999999</v>
      </c>
      <c r="M112" s="34">
        <f t="shared" si="262"/>
        <v>1.5573399999999999E-2</v>
      </c>
      <c r="N112" s="34">
        <f t="shared" si="189"/>
        <v>0.17049659209910337</v>
      </c>
      <c r="O112" s="34">
        <f t="shared" si="190"/>
        <v>6.7124642558702119</v>
      </c>
      <c r="P112" s="59">
        <f t="shared" si="195"/>
        <v>8</v>
      </c>
      <c r="Q112" s="55">
        <f>IF(O112&gt;0,VLOOKUP(P112,'$ alcantarillado'!$I$5:$L$22,4,FALSE),"0")</f>
        <v>0.182</v>
      </c>
      <c r="R112" s="47">
        <f t="shared" si="191"/>
        <v>1.8535256452762897E-2</v>
      </c>
      <c r="S112" s="35">
        <f t="shared" si="192"/>
        <v>0.84020418275241082</v>
      </c>
      <c r="T112" s="58">
        <f>+IF(S112&gt;$B$13,VLOOKUP(P112,'$ alcantarillado'!$I$6:$N$22,5),P112)</f>
        <v>8</v>
      </c>
      <c r="U112" s="55">
        <f>IF(O112&gt;0,VLOOKUP(T112,'$ alcantarillado'!$I$5:$L$22,4),"0")</f>
        <v>0.182</v>
      </c>
      <c r="V112" s="55">
        <f t="shared" si="193"/>
        <v>1.8535256452762897E-2</v>
      </c>
      <c r="W112" s="35">
        <f t="shared" si="194"/>
        <v>0.84020418275241082</v>
      </c>
      <c r="X112" s="35">
        <f t="shared" si="263"/>
        <v>0.71246894962762097</v>
      </c>
      <c r="Y112" s="55">
        <f>IF(T112&gt;0,(VLOOKUP($W112,Relaciones!$A$4:$D$108,2)),"")</f>
        <v>0.997</v>
      </c>
      <c r="Z112" s="35">
        <f t="shared" si="264"/>
        <v>0.71033154277873811</v>
      </c>
      <c r="AA112" s="35">
        <f t="shared" si="265"/>
        <v>0.14218749999999999</v>
      </c>
      <c r="AB112" s="46" t="str">
        <f t="shared" si="266"/>
        <v>OK</v>
      </c>
      <c r="AC112" s="46" t="str">
        <f t="shared" si="267"/>
        <v>OK</v>
      </c>
      <c r="AD112" s="46" t="str">
        <f t="shared" si="268"/>
        <v>No Cumple</v>
      </c>
      <c r="AE112" s="48">
        <f t="shared" si="269"/>
        <v>1</v>
      </c>
      <c r="AF112" s="48">
        <f t="shared" si="269"/>
        <v>1</v>
      </c>
      <c r="AG112" s="48">
        <f t="shared" si="269"/>
        <v>0</v>
      </c>
      <c r="AH112" s="48">
        <f t="shared" si="270"/>
        <v>2</v>
      </c>
      <c r="AI112" s="46">
        <f t="shared" si="271"/>
        <v>0</v>
      </c>
      <c r="AJ112" s="22">
        <f>IF(AI112&gt;0,I112*VLOOKUP(T112,'$ alcantarillado'!$I$6:$K$22,3),0)</f>
        <v>0</v>
      </c>
      <c r="AK112" s="20">
        <f t="shared" si="226"/>
        <v>0</v>
      </c>
      <c r="AL112" s="20">
        <f t="shared" si="227"/>
        <v>0</v>
      </c>
      <c r="AM112" s="22">
        <f t="shared" si="241"/>
        <v>0</v>
      </c>
      <c r="AN112" s="51">
        <f>+AP93</f>
        <v>30165020.957333364</v>
      </c>
      <c r="AO112" s="79" t="str">
        <f t="shared" si="87"/>
        <v/>
      </c>
      <c r="AP112" s="216"/>
      <c r="AQ112" s="10"/>
      <c r="AR112" s="11"/>
    </row>
    <row r="113" spans="1:44" x14ac:dyDescent="0.25">
      <c r="A113" s="211"/>
      <c r="B113" s="211"/>
      <c r="C113" s="211"/>
      <c r="D113" s="211"/>
      <c r="E113" s="4">
        <v>1</v>
      </c>
      <c r="F113" s="27">
        <f>+H73</f>
        <v>46.64</v>
      </c>
      <c r="G113" s="4">
        <v>4</v>
      </c>
      <c r="H113" s="27">
        <f>+H108-$B$15</f>
        <v>45.765000000000001</v>
      </c>
      <c r="I113" s="12">
        <f>+I108</f>
        <v>80</v>
      </c>
      <c r="J113" s="18">
        <f>+(F113-H113)/I113</f>
        <v>1.0937499999999999E-2</v>
      </c>
      <c r="K113" s="12">
        <f>+K108</f>
        <v>1281</v>
      </c>
      <c r="L113" s="14">
        <f>IF(K113&lt;38,K113^0.3686*0.7401,IF(K113&lt;235,K113^0.4193*0.6215,IF(K113&lt;932,K113*0.0092+4.2493,K113*0.0069+6.7345)))</f>
        <v>15.573399999999999</v>
      </c>
      <c r="M113" s="31">
        <f>+L113/1000</f>
        <v>1.5573399999999999E-2</v>
      </c>
      <c r="N113" s="31">
        <f t="shared" si="189"/>
        <v>0.13480405130829018</v>
      </c>
      <c r="O113" s="31">
        <f t="shared" si="190"/>
        <v>5.3072461144996135</v>
      </c>
      <c r="P113" s="57">
        <f t="shared" si="195"/>
        <v>6</v>
      </c>
      <c r="Q113" s="60">
        <f>IF(O113&gt;0,VLOOKUP(P113,'$ alcantarillado'!$I$5:$L$22,4,FALSE),"0")</f>
        <v>0.14499999999999999</v>
      </c>
      <c r="R113" s="60">
        <f t="shared" si="191"/>
        <v>1.8915751187347084E-2</v>
      </c>
      <c r="S113" s="27">
        <f t="shared" si="192"/>
        <v>0.823303280200534</v>
      </c>
      <c r="T113" s="57">
        <f>+IF(S113&gt;$B$13,VLOOKUP(P113,'$ alcantarillado'!$I$6:$N$22,5),P113)</f>
        <v>6</v>
      </c>
      <c r="U113" s="60">
        <f>IF(O113&gt;0,VLOOKUP(T113,'$ alcantarillado'!$I$5:$L$22,4),"0")</f>
        <v>0.14499999999999999</v>
      </c>
      <c r="V113" s="60">
        <f t="shared" si="193"/>
        <v>1.8915751187347084E-2</v>
      </c>
      <c r="W113" s="27">
        <f t="shared" si="194"/>
        <v>0.823303280200534</v>
      </c>
      <c r="X113" s="27">
        <f>IF(T113&gt;0,4*V113/(PI()*(U113)^2),"")</f>
        <v>1.1455068932271779</v>
      </c>
      <c r="Y113" s="60">
        <f>IF(T113&gt;0,(VLOOKUP($W113,Relaciones!$A$4:$D$108,2)),"")</f>
        <v>0.99</v>
      </c>
      <c r="Z113" s="27">
        <f>IF(T113&gt;0,Y113*X113,"")</f>
        <v>1.134051824294906</v>
      </c>
      <c r="AA113" s="27">
        <f>IF(T113&gt;0,250*U113*J113,"")</f>
        <v>0.396484375</v>
      </c>
      <c r="AB113" s="45" t="str">
        <f>IF(T113&gt;0,IF(W113&lt;=$B$13,"OK","No Cumple"),"")</f>
        <v>OK</v>
      </c>
      <c r="AC113" s="45" t="str">
        <f>IF(T113&gt;0,IF(Z113&gt;=$B$12,"OK","No Cumple"),"")</f>
        <v>OK</v>
      </c>
      <c r="AD113" s="45" t="str">
        <f>IF(T113&gt;0,IF(AA113&gt;$B$14,"OK","No Cumple"),"")</f>
        <v>OK</v>
      </c>
      <c r="AE113" s="32">
        <f>+IF(AB113="OK",1,0)</f>
        <v>1</v>
      </c>
      <c r="AF113" s="32">
        <f>+IF(AC113="OK",1,0)</f>
        <v>1</v>
      </c>
      <c r="AG113" s="32">
        <f>+IF(AD113="OK",1,0)</f>
        <v>1</v>
      </c>
      <c r="AH113" s="32">
        <f>SUM(AE113:AG113)</f>
        <v>3</v>
      </c>
      <c r="AI113" s="45">
        <f>IF(AH113=3,2*$B$7+U113,0)</f>
        <v>0.64500000000000002</v>
      </c>
      <c r="AJ113" s="21">
        <f>IF(AI113&gt;0,I113*VLOOKUP(T113,'$ alcantarillado'!$I$6:$K$22,3),0)</f>
        <v>1912173.3333333335</v>
      </c>
      <c r="AK113" s="61">
        <f t="shared" si="226"/>
        <v>4021704.0000000047</v>
      </c>
      <c r="AL113" s="61">
        <f t="shared" si="227"/>
        <v>1811260.6950000019</v>
      </c>
      <c r="AM113" s="21">
        <f>IF(AJ113&gt;0,AJ113+AK113+AL113,0)</f>
        <v>7745138.0283333398</v>
      </c>
      <c r="AN113" s="49">
        <f>IF(AP73&gt;0,+AP73,0)</f>
        <v>30942977.427666694</v>
      </c>
      <c r="AO113" s="67">
        <f>IF((AM113)&gt;0,IF(AN113&gt;0,AM113+AN113,""),"")</f>
        <v>38688115.45600003</v>
      </c>
      <c r="AP113" s="221">
        <f t="shared" ref="AP113" si="275">+MIN(AO113:AO117)</f>
        <v>38688115.45600003</v>
      </c>
      <c r="AQ113" s="7"/>
      <c r="AR113" s="8"/>
    </row>
    <row r="114" spans="1:44" x14ac:dyDescent="0.25">
      <c r="A114" s="211"/>
      <c r="B114" s="211"/>
      <c r="C114" s="211"/>
      <c r="D114" s="211"/>
      <c r="E114" s="5">
        <v>2</v>
      </c>
      <c r="F114" s="35">
        <f>+H78</f>
        <v>46.515000000000001</v>
      </c>
      <c r="G114" s="5">
        <v>4</v>
      </c>
      <c r="H114" s="35">
        <f>+H113</f>
        <v>45.765000000000001</v>
      </c>
      <c r="I114" s="2">
        <f>+I113</f>
        <v>80</v>
      </c>
      <c r="J114" s="18">
        <f t="shared" si="229"/>
        <v>9.3749999999999997E-3</v>
      </c>
      <c r="K114" s="2">
        <f>+K113</f>
        <v>1281</v>
      </c>
      <c r="L114" s="15">
        <f t="shared" si="230"/>
        <v>15.573399999999999</v>
      </c>
      <c r="M114" s="33">
        <f t="shared" ref="M114:M117" si="276">+L114/1000</f>
        <v>1.5573399999999999E-2</v>
      </c>
      <c r="N114" s="33">
        <f t="shared" si="189"/>
        <v>0.13875718078738841</v>
      </c>
      <c r="O114" s="33">
        <f t="shared" si="190"/>
        <v>5.4628811333617486</v>
      </c>
      <c r="P114" s="58">
        <f t="shared" si="195"/>
        <v>6</v>
      </c>
      <c r="Q114" s="55">
        <f>IF(O114&gt;0,VLOOKUP(P114,'$ alcantarillado'!$I$5:$L$22,4,FALSE),"0")</f>
        <v>0.14499999999999999</v>
      </c>
      <c r="R114" s="55">
        <f t="shared" si="191"/>
        <v>1.7512582651542437E-2</v>
      </c>
      <c r="S114" s="35">
        <f t="shared" si="192"/>
        <v>0.88926917918804838</v>
      </c>
      <c r="T114" s="58">
        <f>+IF(S114&gt;$B$13,VLOOKUP(P114,'$ alcantarillado'!$I$6:$N$22,5),P114)</f>
        <v>8</v>
      </c>
      <c r="U114" s="55">
        <f>IF(O114&gt;0,VLOOKUP(T114,'$ alcantarillado'!$I$5:$L$22,4),"0")</f>
        <v>0.182</v>
      </c>
      <c r="V114" s="55">
        <f t="shared" si="193"/>
        <v>3.2104005907504223E-2</v>
      </c>
      <c r="W114" s="35">
        <f t="shared" si="194"/>
        <v>0.48509211108635386</v>
      </c>
      <c r="X114" s="35">
        <f t="shared" ref="X114:X117" si="277">IF(T114&gt;0,4*V114/(PI()*(U114)^2),"")</f>
        <v>1.2340324195702708</v>
      </c>
      <c r="Y114" s="55">
        <f>IF(T114&gt;0,(VLOOKUP($W114,Relaciones!$A$4:$D$108,2)),"")</f>
        <v>0.84</v>
      </c>
      <c r="Z114" s="35">
        <f t="shared" ref="Z114:Z117" si="278">IF(T114&gt;0,Y114*X114,"")</f>
        <v>1.0365872324390275</v>
      </c>
      <c r="AA114" s="35">
        <f t="shared" ref="AA114:AA117" si="279">IF(T114&gt;0,250*U114*J114,"")</f>
        <v>0.42656250000000001</v>
      </c>
      <c r="AB114" s="46" t="str">
        <f t="shared" ref="AB114:AB117" si="280">IF(T114&gt;0,IF(W114&lt;=$B$13,"OK","No Cumple"),"")</f>
        <v>OK</v>
      </c>
      <c r="AC114" s="46" t="str">
        <f t="shared" ref="AC114:AC117" si="281">IF(T114&gt;0,IF(Z114&gt;=$B$12,"OK","No Cumple"),"")</f>
        <v>OK</v>
      </c>
      <c r="AD114" s="46" t="str">
        <f t="shared" ref="AD114:AD117" si="282">IF(T114&gt;0,IF(AA114&gt;$B$14,"OK","No Cumple"),"")</f>
        <v>OK</v>
      </c>
      <c r="AE114" s="48">
        <f t="shared" ref="AE114:AG117" si="283">+IF(AB114="OK",1,0)</f>
        <v>1</v>
      </c>
      <c r="AF114" s="48">
        <f t="shared" si="283"/>
        <v>1</v>
      </c>
      <c r="AG114" s="48">
        <f t="shared" si="283"/>
        <v>1</v>
      </c>
      <c r="AH114" s="48">
        <f t="shared" ref="AH114:AH117" si="284">SUM(AE114:AG114)</f>
        <v>3</v>
      </c>
      <c r="AI114" s="46">
        <f t="shared" ref="AI114:AI117" si="285">IF(AH114=3,2*$B$7+U114,0)</f>
        <v>0.68199999999999994</v>
      </c>
      <c r="AJ114" s="20">
        <f>IF(AI114&gt;0,I114*VLOOKUP(T114,'$ alcantarillado'!$I$6:$K$22,3),0)</f>
        <v>2654586.666666667</v>
      </c>
      <c r="AK114" s="20">
        <f t="shared" si="226"/>
        <v>4429671.8400000036</v>
      </c>
      <c r="AL114" s="20">
        <f t="shared" si="227"/>
        <v>1924333.6170000019</v>
      </c>
      <c r="AM114" s="20">
        <f t="shared" si="241"/>
        <v>9008592.123666672</v>
      </c>
      <c r="AN114" s="50">
        <f>+AP78</f>
        <v>31004357.427666694</v>
      </c>
      <c r="AO114" s="78">
        <f t="shared" si="87"/>
        <v>40012949.551333368</v>
      </c>
      <c r="AP114" s="222"/>
      <c r="AQ114" s="2"/>
      <c r="AR114" s="9"/>
    </row>
    <row r="115" spans="1:44" x14ac:dyDescent="0.25">
      <c r="A115" s="211"/>
      <c r="B115" s="211"/>
      <c r="C115" s="211"/>
      <c r="D115" s="211"/>
      <c r="E115" s="56">
        <v>3</v>
      </c>
      <c r="F115" s="35">
        <f>+H83</f>
        <v>46.39</v>
      </c>
      <c r="G115" s="56">
        <v>4</v>
      </c>
      <c r="H115" s="35">
        <f t="shared" ref="H115:H116" si="286">+H114</f>
        <v>45.765000000000001</v>
      </c>
      <c r="I115" s="2">
        <f t="shared" ref="I115:I116" si="287">+I114</f>
        <v>80</v>
      </c>
      <c r="J115" s="18">
        <f t="shared" si="229"/>
        <v>7.8125E-3</v>
      </c>
      <c r="K115" s="2">
        <f t="shared" ref="K115:K116" si="288">+K114</f>
        <v>1281</v>
      </c>
      <c r="L115" s="15">
        <f t="shared" si="230"/>
        <v>15.573399999999999</v>
      </c>
      <c r="M115" s="33">
        <f t="shared" si="276"/>
        <v>1.5573399999999999E-2</v>
      </c>
      <c r="N115" s="33">
        <f t="shared" si="189"/>
        <v>0.14358264555199565</v>
      </c>
      <c r="O115" s="33">
        <f t="shared" si="190"/>
        <v>5.6528600611021913</v>
      </c>
      <c r="P115" s="58">
        <f t="shared" si="195"/>
        <v>6</v>
      </c>
      <c r="Q115" s="55">
        <f>IF(O115&gt;0,VLOOKUP(P115,'$ alcantarillado'!$I$5:$L$22,4,FALSE),"0")</f>
        <v>0.14499999999999999</v>
      </c>
      <c r="R115" s="55">
        <f t="shared" si="191"/>
        <v>1.5986727597372376E-2</v>
      </c>
      <c r="S115" s="35">
        <f t="shared" si="192"/>
        <v>0.97414557827079551</v>
      </c>
      <c r="T115" s="58">
        <f>+IF(S115&gt;$B$13,VLOOKUP(P115,'$ alcantarillado'!$I$6:$N$22,5),P115)</f>
        <v>8</v>
      </c>
      <c r="U115" s="55">
        <f>IF(O115&gt;0,VLOOKUP(T115,'$ alcantarillado'!$I$5:$L$22,4),"0")</f>
        <v>0.182</v>
      </c>
      <c r="V115" s="55">
        <f t="shared" si="193"/>
        <v>2.9306813703031953E-2</v>
      </c>
      <c r="W115" s="35">
        <f t="shared" si="194"/>
        <v>0.53139178341959581</v>
      </c>
      <c r="X115" s="35">
        <f t="shared" si="277"/>
        <v>1.1265123214855279</v>
      </c>
      <c r="Y115" s="55">
        <f>IF(T115&gt;0,(VLOOKUP($W115,Relaciones!$A$4:$D$108,2)),"")</f>
        <v>0.86499999999999999</v>
      </c>
      <c r="Z115" s="35">
        <f t="shared" si="278"/>
        <v>0.97443315808498165</v>
      </c>
      <c r="AA115" s="35">
        <f t="shared" si="279"/>
        <v>0.35546875</v>
      </c>
      <c r="AB115" s="46" t="str">
        <f t="shared" si="280"/>
        <v>OK</v>
      </c>
      <c r="AC115" s="46" t="str">
        <f t="shared" si="281"/>
        <v>OK</v>
      </c>
      <c r="AD115" s="46" t="str">
        <f t="shared" si="282"/>
        <v>OK</v>
      </c>
      <c r="AE115" s="48">
        <f t="shared" si="283"/>
        <v>1</v>
      </c>
      <c r="AF115" s="48">
        <f t="shared" si="283"/>
        <v>1</v>
      </c>
      <c r="AG115" s="48">
        <f t="shared" si="283"/>
        <v>1</v>
      </c>
      <c r="AH115" s="48">
        <f t="shared" si="284"/>
        <v>3</v>
      </c>
      <c r="AI115" s="46">
        <f t="shared" si="285"/>
        <v>0.68199999999999994</v>
      </c>
      <c r="AJ115" s="20">
        <f>IF(AI115&gt;0,I115*VLOOKUP(T115,'$ alcantarillado'!$I$6:$K$22,3),0)</f>
        <v>2654586.666666667</v>
      </c>
      <c r="AK115" s="20">
        <f t="shared" si="226"/>
        <v>4552431.8400000036</v>
      </c>
      <c r="AL115" s="20">
        <f t="shared" si="227"/>
        <v>2011581.2420000019</v>
      </c>
      <c r="AM115" s="20">
        <f t="shared" si="241"/>
        <v>9218599.748666672</v>
      </c>
      <c r="AN115" s="80">
        <f>+AP83</f>
        <v>31065737.427666698</v>
      </c>
      <c r="AO115" s="78">
        <f t="shared" ref="AO115:AO117" si="289">IF((AM115)&gt;0,IF(AN115&gt;0,AM115+AN115,""),"")</f>
        <v>40284337.176333368</v>
      </c>
      <c r="AP115" s="223"/>
      <c r="AQ115" s="2">
        <v>1</v>
      </c>
      <c r="AR115" s="9">
        <v>4</v>
      </c>
    </row>
    <row r="116" spans="1:44" x14ac:dyDescent="0.25">
      <c r="A116" s="211"/>
      <c r="B116" s="211"/>
      <c r="C116" s="211"/>
      <c r="D116" s="211"/>
      <c r="E116" s="56">
        <v>4</v>
      </c>
      <c r="F116" s="35">
        <f>+H88</f>
        <v>46.265000000000001</v>
      </c>
      <c r="G116" s="56">
        <v>4</v>
      </c>
      <c r="H116" s="35">
        <f t="shared" si="286"/>
        <v>45.765000000000001</v>
      </c>
      <c r="I116" s="2">
        <f t="shared" si="287"/>
        <v>80</v>
      </c>
      <c r="J116" s="18">
        <f>+(F116-H116)/I116</f>
        <v>6.2500000000000003E-3</v>
      </c>
      <c r="K116" s="2">
        <f t="shared" si="288"/>
        <v>1281</v>
      </c>
      <c r="L116" s="15">
        <f t="shared" si="230"/>
        <v>15.573399999999999</v>
      </c>
      <c r="M116" s="33">
        <f t="shared" si="276"/>
        <v>1.5573399999999999E-2</v>
      </c>
      <c r="N116" s="33">
        <f t="shared" si="189"/>
        <v>0.14971750410516779</v>
      </c>
      <c r="O116" s="33">
        <f t="shared" si="190"/>
        <v>5.8943899254003069</v>
      </c>
      <c r="P116" s="58">
        <f t="shared" si="195"/>
        <v>6</v>
      </c>
      <c r="Q116" s="55">
        <f>IF(O116&gt;0,VLOOKUP(P116,'$ alcantarillado'!$I$5:$L$22,4,FALSE),"0")</f>
        <v>0.14499999999999999</v>
      </c>
      <c r="R116" s="55">
        <f t="shared" si="191"/>
        <v>1.4298963858198607E-2</v>
      </c>
      <c r="S116" s="35">
        <f t="shared" si="192"/>
        <v>1.0891278664971706</v>
      </c>
      <c r="T116" s="58">
        <f>+IF(S116&gt;$B$13,VLOOKUP(P116,'$ alcantarillado'!$I$6:$N$22,5),P116)</f>
        <v>8</v>
      </c>
      <c r="U116" s="55">
        <f>IF(O116&gt;0,VLOOKUP(T116,'$ alcantarillado'!$I$5:$L$22,4),"0")</f>
        <v>0.182</v>
      </c>
      <c r="V116" s="55">
        <f t="shared" si="193"/>
        <v>2.6212811057560712E-2</v>
      </c>
      <c r="W116" s="35">
        <f t="shared" si="194"/>
        <v>0.59411407520553094</v>
      </c>
      <c r="X116" s="35">
        <f t="shared" si="277"/>
        <v>1.0075832513330949</v>
      </c>
      <c r="Y116" s="55">
        <f>IF(T116&gt;0,(VLOOKUP($W116,Relaciones!$A$4:$D$108,2)),"")</f>
        <v>0.89500000000000002</v>
      </c>
      <c r="Z116" s="35">
        <f t="shared" si="278"/>
        <v>0.90178700994312</v>
      </c>
      <c r="AA116" s="35">
        <f t="shared" si="279"/>
        <v>0.28437499999999999</v>
      </c>
      <c r="AB116" s="46" t="str">
        <f t="shared" si="280"/>
        <v>OK</v>
      </c>
      <c r="AC116" s="46" t="str">
        <f t="shared" si="281"/>
        <v>OK</v>
      </c>
      <c r="AD116" s="46" t="str">
        <f t="shared" si="282"/>
        <v>OK</v>
      </c>
      <c r="AE116" s="48">
        <f t="shared" si="283"/>
        <v>1</v>
      </c>
      <c r="AF116" s="48">
        <f t="shared" si="283"/>
        <v>1</v>
      </c>
      <c r="AG116" s="48">
        <f t="shared" si="283"/>
        <v>1</v>
      </c>
      <c r="AH116" s="48">
        <f t="shared" si="284"/>
        <v>3</v>
      </c>
      <c r="AI116" s="46">
        <f t="shared" si="285"/>
        <v>0.68199999999999994</v>
      </c>
      <c r="AJ116" s="20">
        <f>IF(AI116&gt;0,I116*VLOOKUP(T116,'$ alcantarillado'!$I$6:$K$22,3),0)</f>
        <v>2654586.666666667</v>
      </c>
      <c r="AK116" s="20">
        <f t="shared" si="226"/>
        <v>4675191.8400000036</v>
      </c>
      <c r="AL116" s="20">
        <f t="shared" si="227"/>
        <v>2098828.8670000019</v>
      </c>
      <c r="AM116" s="20">
        <f t="shared" si="241"/>
        <v>9428607.373666672</v>
      </c>
      <c r="AN116" s="50">
        <f>+AP88</f>
        <v>31125253.832333364</v>
      </c>
      <c r="AO116" s="78">
        <f t="shared" si="289"/>
        <v>40553861.206000037</v>
      </c>
      <c r="AP116" s="223"/>
      <c r="AQ116" s="2"/>
      <c r="AR116" s="9"/>
    </row>
    <row r="117" spans="1:44" ht="15.75" thickBot="1" x14ac:dyDescent="0.3">
      <c r="A117" s="211"/>
      <c r="B117" s="211"/>
      <c r="C117" s="211"/>
      <c r="D117" s="211"/>
      <c r="E117" s="6">
        <v>5</v>
      </c>
      <c r="F117" s="65">
        <f>+H93</f>
        <v>46.14</v>
      </c>
      <c r="G117" s="6">
        <v>4</v>
      </c>
      <c r="H117" s="65">
        <f>+H116</f>
        <v>45.765000000000001</v>
      </c>
      <c r="I117" s="10">
        <f>+I116</f>
        <v>80</v>
      </c>
      <c r="J117" s="19">
        <f t="shared" si="229"/>
        <v>4.6874999999999998E-3</v>
      </c>
      <c r="K117" s="10">
        <f>+K116</f>
        <v>1281</v>
      </c>
      <c r="L117" s="16">
        <f t="shared" si="230"/>
        <v>15.573399999999999</v>
      </c>
      <c r="M117" s="34">
        <f t="shared" si="276"/>
        <v>1.5573399999999999E-2</v>
      </c>
      <c r="N117" s="34">
        <f t="shared" si="189"/>
        <v>0.15801510047155756</v>
      </c>
      <c r="O117" s="34">
        <f t="shared" si="190"/>
        <v>6.2210669476991169</v>
      </c>
      <c r="P117" s="59">
        <f t="shared" si="195"/>
        <v>8</v>
      </c>
      <c r="Q117" s="55">
        <f>IF(O117&gt;0,VLOOKUP(P117,'$ alcantarillado'!$I$5:$L$22,4,FALSE),"0")</f>
        <v>0.182</v>
      </c>
      <c r="R117" s="47">
        <f t="shared" si="191"/>
        <v>2.2700960280449212E-2</v>
      </c>
      <c r="S117" s="35">
        <f t="shared" si="192"/>
        <v>0.68602384249851789</v>
      </c>
      <c r="T117" s="58">
        <f>+IF(S117&gt;$B$13,VLOOKUP(P117,'$ alcantarillado'!$I$6:$N$22,5),P117)</f>
        <v>8</v>
      </c>
      <c r="U117" s="55">
        <f>IF(O117&gt;0,VLOOKUP(T117,'$ alcantarillado'!$I$5:$L$22,4),"0")</f>
        <v>0.182</v>
      </c>
      <c r="V117" s="55">
        <f t="shared" si="193"/>
        <v>2.2700960280449212E-2</v>
      </c>
      <c r="W117" s="35">
        <f t="shared" si="194"/>
        <v>0.68602384249851789</v>
      </c>
      <c r="X117" s="35">
        <f t="shared" si="277"/>
        <v>0.87259269208218104</v>
      </c>
      <c r="Y117" s="55">
        <f>IF(T117&gt;0,(VLOOKUP($W117,Relaciones!$A$4:$D$108,2)),"")</f>
        <v>0.93600000000000005</v>
      </c>
      <c r="Z117" s="35">
        <f t="shared" si="278"/>
        <v>0.81674675978892153</v>
      </c>
      <c r="AA117" s="35">
        <f t="shared" si="279"/>
        <v>0.21328125000000001</v>
      </c>
      <c r="AB117" s="46" t="str">
        <f t="shared" si="280"/>
        <v>OK</v>
      </c>
      <c r="AC117" s="46" t="str">
        <f t="shared" si="281"/>
        <v>OK</v>
      </c>
      <c r="AD117" s="46" t="str">
        <f t="shared" si="282"/>
        <v>OK</v>
      </c>
      <c r="AE117" s="48">
        <f t="shared" si="283"/>
        <v>1</v>
      </c>
      <c r="AF117" s="48">
        <f t="shared" si="283"/>
        <v>1</v>
      </c>
      <c r="AG117" s="48">
        <f t="shared" si="283"/>
        <v>1</v>
      </c>
      <c r="AH117" s="48">
        <f t="shared" si="284"/>
        <v>3</v>
      </c>
      <c r="AI117" s="46">
        <f t="shared" si="285"/>
        <v>0.68199999999999994</v>
      </c>
      <c r="AJ117" s="22">
        <f>IF(AI117&gt;0,I117*VLOOKUP(T117,'$ alcantarillado'!$I$6:$K$22,3),0)</f>
        <v>2654586.666666667</v>
      </c>
      <c r="AK117" s="20">
        <f t="shared" si="226"/>
        <v>4797951.8400000036</v>
      </c>
      <c r="AL117" s="20">
        <f t="shared" si="227"/>
        <v>2186076.4920000019</v>
      </c>
      <c r="AM117" s="22">
        <f t="shared" si="241"/>
        <v>9638614.998666672</v>
      </c>
      <c r="AN117" s="51">
        <f>+AP93</f>
        <v>30165020.957333364</v>
      </c>
      <c r="AO117" s="79">
        <f t="shared" si="289"/>
        <v>39803635.956000037</v>
      </c>
      <c r="AP117" s="224"/>
      <c r="AQ117" s="10"/>
      <c r="AR117" s="11"/>
    </row>
    <row r="118" spans="1:44" x14ac:dyDescent="0.25">
      <c r="A118" s="211"/>
      <c r="B118" s="211"/>
      <c r="C118" s="211"/>
      <c r="D118" s="211"/>
      <c r="E118" s="4">
        <v>1</v>
      </c>
      <c r="F118" s="27">
        <f>+H73</f>
        <v>46.64</v>
      </c>
      <c r="G118" s="4">
        <v>5</v>
      </c>
      <c r="H118" s="14">
        <f>+H108-2*$B$15</f>
        <v>45.64</v>
      </c>
      <c r="I118" s="12">
        <f>+I113</f>
        <v>80</v>
      </c>
      <c r="J118" s="18">
        <f>+(F118-H118)/I118</f>
        <v>1.2500000000000001E-2</v>
      </c>
      <c r="K118" s="12">
        <f>+K113</f>
        <v>1281</v>
      </c>
      <c r="L118" s="14">
        <f>IF(K118&lt;38,K118^0.3686*0.7401,IF(K118&lt;235,K118^0.4193*0.6215,IF(K118&lt;932,K118*0.0092+4.2493,K118*0.0069+6.7345)))</f>
        <v>15.573399999999999</v>
      </c>
      <c r="M118" s="31">
        <f>+L118/1000</f>
        <v>1.5573399999999999E-2</v>
      </c>
      <c r="N118" s="31">
        <f t="shared" si="189"/>
        <v>0.13147084501519965</v>
      </c>
      <c r="O118" s="31">
        <f t="shared" si="190"/>
        <v>5.1760175202834509</v>
      </c>
      <c r="P118" s="57">
        <f t="shared" si="195"/>
        <v>6</v>
      </c>
      <c r="Q118" s="60">
        <f>IF(O118&gt;0,VLOOKUP(P118,'$ alcantarillado'!$I$5:$L$22,4,FALSE),"0")</f>
        <v>0.14499999999999999</v>
      </c>
      <c r="R118" s="60">
        <f t="shared" si="191"/>
        <v>2.0221788616147186E-2</v>
      </c>
      <c r="S118" s="27">
        <f t="shared" si="192"/>
        <v>0.77012969997938618</v>
      </c>
      <c r="T118" s="57">
        <f>+IF(S118&gt;$B$13,VLOOKUP(P118,'$ alcantarillado'!$I$6:$N$22,5),P118)</f>
        <v>6</v>
      </c>
      <c r="U118" s="60">
        <f>IF(O118&gt;0,VLOOKUP(T118,'$ alcantarillado'!$I$5:$L$22,4),"0")</f>
        <v>0.14499999999999999</v>
      </c>
      <c r="V118" s="60">
        <f t="shared" si="193"/>
        <v>2.0221788616147186E-2</v>
      </c>
      <c r="W118" s="27">
        <f t="shared" si="194"/>
        <v>0.77012969997938618</v>
      </c>
      <c r="X118" s="27">
        <f>IF(T118&gt;0,4*V118/(PI()*(U118)^2),"")</f>
        <v>1.2245983796125537</v>
      </c>
      <c r="Y118" s="60">
        <f>IF(T118&gt;0,(VLOOKUP($W118,Relaciones!$A$4:$D$108,2)),"")</f>
        <v>0.97199999999999998</v>
      </c>
      <c r="Z118" s="27">
        <f>IF(T118&gt;0,Y118*X118,"")</f>
        <v>1.1903096249834022</v>
      </c>
      <c r="AA118" s="27">
        <f>IF(T118&gt;0,250*U118*J118,"")</f>
        <v>0.453125</v>
      </c>
      <c r="AB118" s="45" t="str">
        <f>IF(T118&gt;0,IF(W118&lt;=$B$13,"OK","No Cumple"),"")</f>
        <v>OK</v>
      </c>
      <c r="AC118" s="45" t="str">
        <f>IF(T118&gt;0,IF(Z118&gt;=$B$12,"OK","No Cumple"),"")</f>
        <v>OK</v>
      </c>
      <c r="AD118" s="45" t="str">
        <f>IF(T118&gt;0,IF(AA118&gt;$B$14,"OK","No Cumple"),"")</f>
        <v>OK</v>
      </c>
      <c r="AE118" s="32">
        <f>+IF(AB118="OK",1,0)</f>
        <v>1</v>
      </c>
      <c r="AF118" s="32">
        <f>+IF(AC118="OK",1,0)</f>
        <v>1</v>
      </c>
      <c r="AG118" s="32">
        <f>+IF(AD118="OK",1,0)</f>
        <v>1</v>
      </c>
      <c r="AH118" s="32">
        <f>SUM(AE118:AG118)</f>
        <v>3</v>
      </c>
      <c r="AI118" s="45">
        <f>IF(AH118=3,2*$B$7+U118,0)</f>
        <v>0.64500000000000002</v>
      </c>
      <c r="AJ118" s="21">
        <f>IF(AI118&gt;0,I118*VLOOKUP(T118,'$ alcantarillado'!$I$6:$K$22,3),0)</f>
        <v>1912173.3333333335</v>
      </c>
      <c r="AK118" s="61">
        <f t="shared" si="226"/>
        <v>4079754.0000000047</v>
      </c>
      <c r="AL118" s="61">
        <f t="shared" si="227"/>
        <v>1811260.6950000019</v>
      </c>
      <c r="AM118" s="21">
        <f>IF(AJ118&gt;0,AJ118+AK118+AL118,0)</f>
        <v>7803188.0283333398</v>
      </c>
      <c r="AN118" s="49">
        <f>IF(AP73&gt;0,+AP73,0)</f>
        <v>30942977.427666694</v>
      </c>
      <c r="AO118" s="77">
        <f>IF((AM118)&gt;0,IF(AN118&gt;0,AM118+AN118,""),"")</f>
        <v>38746165.45600003</v>
      </c>
      <c r="AP118" s="213">
        <f t="shared" ref="AP118" si="290">+MIN(AO118:AO122)</f>
        <v>38746165.45600003</v>
      </c>
      <c r="AQ118" s="2"/>
      <c r="AR118" s="9"/>
    </row>
    <row r="119" spans="1:44" x14ac:dyDescent="0.25">
      <c r="A119" s="211"/>
      <c r="B119" s="211"/>
      <c r="C119" s="211"/>
      <c r="D119" s="211"/>
      <c r="E119" s="5">
        <v>2</v>
      </c>
      <c r="F119" s="35">
        <f>+H78</f>
        <v>46.515000000000001</v>
      </c>
      <c r="G119" s="5">
        <v>5</v>
      </c>
      <c r="H119" s="15">
        <f>+H118</f>
        <v>45.64</v>
      </c>
      <c r="I119" s="2">
        <f>+I118</f>
        <v>80</v>
      </c>
      <c r="J119" s="18">
        <f t="shared" si="229"/>
        <v>1.0937499999999999E-2</v>
      </c>
      <c r="K119" s="2">
        <f>+K118</f>
        <v>1281</v>
      </c>
      <c r="L119" s="15">
        <f t="shared" si="230"/>
        <v>15.573399999999999</v>
      </c>
      <c r="M119" s="33">
        <f t="shared" ref="M119:M122" si="291">+L119/1000</f>
        <v>1.5573399999999999E-2</v>
      </c>
      <c r="N119" s="33">
        <f t="shared" si="189"/>
        <v>0.13480405130829018</v>
      </c>
      <c r="O119" s="33">
        <f t="shared" si="190"/>
        <v>5.3072461144996135</v>
      </c>
      <c r="P119" s="58">
        <f t="shared" si="195"/>
        <v>6</v>
      </c>
      <c r="Q119" s="55">
        <f>IF(O119&gt;0,VLOOKUP(P119,'$ alcantarillado'!$I$5:$L$22,4,FALSE),"0")</f>
        <v>0.14499999999999999</v>
      </c>
      <c r="R119" s="55">
        <f t="shared" si="191"/>
        <v>1.8915751187347084E-2</v>
      </c>
      <c r="S119" s="35">
        <f t="shared" si="192"/>
        <v>0.823303280200534</v>
      </c>
      <c r="T119" s="58">
        <f>+IF(S119&gt;$B$13,VLOOKUP(P119,'$ alcantarillado'!$I$6:$N$22,5),P119)</f>
        <v>6</v>
      </c>
      <c r="U119" s="55">
        <f>IF(O119&gt;0,VLOOKUP(T119,'$ alcantarillado'!$I$5:$L$22,4),"0")</f>
        <v>0.14499999999999999</v>
      </c>
      <c r="V119" s="55">
        <f t="shared" si="193"/>
        <v>1.8915751187347084E-2</v>
      </c>
      <c r="W119" s="35">
        <f t="shared" ref="W119:W147" si="292">IF(T119&gt;0,M119/V119,0)</f>
        <v>0.823303280200534</v>
      </c>
      <c r="X119" s="35">
        <f t="shared" ref="X119:X122" si="293">IF(T119&gt;0,4*V119/(PI()*(U119)^2),"")</f>
        <v>1.1455068932271779</v>
      </c>
      <c r="Y119" s="55">
        <f>IF(T119&gt;0,(VLOOKUP($W119,Relaciones!$A$4:$D$108,2)),"")</f>
        <v>0.99</v>
      </c>
      <c r="Z119" s="35">
        <f t="shared" ref="Z119:Z122" si="294">IF(T119&gt;0,Y119*X119,"")</f>
        <v>1.134051824294906</v>
      </c>
      <c r="AA119" s="35">
        <f t="shared" ref="AA119:AA122" si="295">IF(T119&gt;0,250*U119*J119,"")</f>
        <v>0.396484375</v>
      </c>
      <c r="AB119" s="46" t="str">
        <f t="shared" ref="AB119:AB122" si="296">IF(T119&gt;0,IF(W119&lt;=$B$13,"OK","No Cumple"),"")</f>
        <v>OK</v>
      </c>
      <c r="AC119" s="46" t="str">
        <f t="shared" ref="AC119:AC122" si="297">IF(T119&gt;0,IF(Z119&gt;=$B$12,"OK","No Cumple"),"")</f>
        <v>OK</v>
      </c>
      <c r="AD119" s="46" t="str">
        <f t="shared" ref="AD119:AD122" si="298">IF(T119&gt;0,IF(AA119&gt;$B$14,"OK","No Cumple"),"")</f>
        <v>OK</v>
      </c>
      <c r="AE119" s="48">
        <f t="shared" ref="AE119:AG122" si="299">+IF(AB119="OK",1,0)</f>
        <v>1</v>
      </c>
      <c r="AF119" s="48">
        <f t="shared" si="299"/>
        <v>1</v>
      </c>
      <c r="AG119" s="48">
        <f t="shared" si="299"/>
        <v>1</v>
      </c>
      <c r="AH119" s="48">
        <f t="shared" ref="AH119:AH122" si="300">SUM(AE119:AG119)</f>
        <v>3</v>
      </c>
      <c r="AI119" s="46">
        <f t="shared" ref="AI119:AI122" si="301">IF(AH119=3,2*$B$7+U119,0)</f>
        <v>0.64500000000000002</v>
      </c>
      <c r="AJ119" s="20">
        <f>IF(AI119&gt;0,I119*VLOOKUP(T119,'$ alcantarillado'!$I$6:$K$22,3),0)</f>
        <v>1912173.3333333335</v>
      </c>
      <c r="AK119" s="20">
        <f t="shared" si="226"/>
        <v>4195854.0000000047</v>
      </c>
      <c r="AL119" s="20">
        <f t="shared" si="227"/>
        <v>1898508.3200000019</v>
      </c>
      <c r="AM119" s="20">
        <f t="shared" si="241"/>
        <v>8006535.6533333398</v>
      </c>
      <c r="AN119" s="50">
        <f>+AP78</f>
        <v>31004357.427666694</v>
      </c>
      <c r="AO119" s="78">
        <f t="shared" ref="AO119:AO122" si="302">IF((AM119)&gt;0,IF(AN119&gt;0,AM119+AN119,""),"")</f>
        <v>39010893.08100003</v>
      </c>
      <c r="AP119" s="214"/>
      <c r="AQ119" s="2"/>
      <c r="AR119" s="9"/>
    </row>
    <row r="120" spans="1:44" x14ac:dyDescent="0.25">
      <c r="A120" s="211"/>
      <c r="B120" s="211"/>
      <c r="C120" s="211"/>
      <c r="D120" s="211"/>
      <c r="E120" s="56">
        <v>3</v>
      </c>
      <c r="F120" s="35">
        <f>+H83</f>
        <v>46.39</v>
      </c>
      <c r="G120" s="56">
        <v>5</v>
      </c>
      <c r="H120" s="15">
        <f t="shared" ref="H120:H121" si="303">+H119</f>
        <v>45.64</v>
      </c>
      <c r="I120" s="2">
        <f t="shared" ref="I120:I121" si="304">+I119</f>
        <v>80</v>
      </c>
      <c r="J120" s="18">
        <f t="shared" si="229"/>
        <v>9.3749999999999997E-3</v>
      </c>
      <c r="K120" s="2">
        <f t="shared" ref="K120:K121" si="305">+K119</f>
        <v>1281</v>
      </c>
      <c r="L120" s="15">
        <f t="shared" si="230"/>
        <v>15.573399999999999</v>
      </c>
      <c r="M120" s="33">
        <f t="shared" si="291"/>
        <v>1.5573399999999999E-2</v>
      </c>
      <c r="N120" s="33">
        <f t="shared" si="189"/>
        <v>0.13875718078738841</v>
      </c>
      <c r="O120" s="33">
        <f t="shared" si="190"/>
        <v>5.4628811333617486</v>
      </c>
      <c r="P120" s="58">
        <f>IF(O120&lt;0.1,0,IF(O120&lt;4,6,EVEN(O120)))</f>
        <v>6</v>
      </c>
      <c r="Q120" s="55">
        <f>IF(O120&gt;0,VLOOKUP(P120,'$ alcantarillado'!$I$5:$L$22,4,FALSE),"0")</f>
        <v>0.14499999999999999</v>
      </c>
      <c r="R120" s="55">
        <f t="shared" si="191"/>
        <v>1.7512582651542437E-2</v>
      </c>
      <c r="S120" s="35">
        <f t="shared" si="192"/>
        <v>0.88926917918804838</v>
      </c>
      <c r="T120" s="58">
        <f>+IF(S120&gt;$B$13,VLOOKUP(P120,'$ alcantarillado'!$I$6:$N$22,5),P120)</f>
        <v>8</v>
      </c>
      <c r="U120" s="55">
        <f>IF(O120&gt;0,VLOOKUP(T120,'$ alcantarillado'!$I$5:$L$22,4),"0")</f>
        <v>0.182</v>
      </c>
      <c r="V120" s="55">
        <f t="shared" si="193"/>
        <v>3.2104005907504223E-2</v>
      </c>
      <c r="W120" s="35">
        <f t="shared" si="292"/>
        <v>0.48509211108635386</v>
      </c>
      <c r="X120" s="35">
        <f t="shared" si="293"/>
        <v>1.2340324195702708</v>
      </c>
      <c r="Y120" s="55">
        <f>IF(T120&gt;0,(VLOOKUP($W120,Relaciones!$A$4:$D$108,2)),"")</f>
        <v>0.84</v>
      </c>
      <c r="Z120" s="35">
        <f t="shared" si="294"/>
        <v>1.0365872324390275</v>
      </c>
      <c r="AA120" s="35">
        <f t="shared" si="295"/>
        <v>0.42656250000000001</v>
      </c>
      <c r="AB120" s="46" t="str">
        <f t="shared" si="296"/>
        <v>OK</v>
      </c>
      <c r="AC120" s="46" t="str">
        <f t="shared" si="297"/>
        <v>OK</v>
      </c>
      <c r="AD120" s="46" t="str">
        <f t="shared" si="298"/>
        <v>OK</v>
      </c>
      <c r="AE120" s="48">
        <f t="shared" si="299"/>
        <v>1</v>
      </c>
      <c r="AF120" s="48">
        <f t="shared" si="299"/>
        <v>1</v>
      </c>
      <c r="AG120" s="48">
        <f t="shared" si="299"/>
        <v>1</v>
      </c>
      <c r="AH120" s="48">
        <f t="shared" si="300"/>
        <v>3</v>
      </c>
      <c r="AI120" s="46">
        <f t="shared" si="301"/>
        <v>0.68199999999999994</v>
      </c>
      <c r="AJ120" s="20">
        <f>IF(AI120&gt;0,I120*VLOOKUP(T120,'$ alcantarillado'!$I$6:$K$22,3),0)</f>
        <v>2654586.666666667</v>
      </c>
      <c r="AK120" s="20">
        <f t="shared" si="226"/>
        <v>4613811.8400000045</v>
      </c>
      <c r="AL120" s="20">
        <f t="shared" si="227"/>
        <v>2011581.2420000019</v>
      </c>
      <c r="AM120" s="20">
        <f t="shared" si="241"/>
        <v>9279979.7486666739</v>
      </c>
      <c r="AN120" s="50">
        <f>+AP83</f>
        <v>31065737.427666698</v>
      </c>
      <c r="AO120" s="78">
        <f t="shared" si="302"/>
        <v>40345717.176333368</v>
      </c>
      <c r="AP120" s="215"/>
      <c r="AQ120" s="2">
        <v>1</v>
      </c>
      <c r="AR120" s="9">
        <v>5</v>
      </c>
    </row>
    <row r="121" spans="1:44" x14ac:dyDescent="0.25">
      <c r="A121" s="211"/>
      <c r="B121" s="211"/>
      <c r="C121" s="211"/>
      <c r="D121" s="211"/>
      <c r="E121" s="56">
        <v>4</v>
      </c>
      <c r="F121" s="35">
        <f>+H88</f>
        <v>46.265000000000001</v>
      </c>
      <c r="G121" s="56">
        <v>5</v>
      </c>
      <c r="H121" s="15">
        <f t="shared" si="303"/>
        <v>45.64</v>
      </c>
      <c r="I121" s="2">
        <f t="shared" si="304"/>
        <v>80</v>
      </c>
      <c r="J121" s="18">
        <f>+(F121-H121)/I121</f>
        <v>7.8125E-3</v>
      </c>
      <c r="K121" s="2">
        <f t="shared" si="305"/>
        <v>1281</v>
      </c>
      <c r="L121" s="15">
        <f t="shared" si="230"/>
        <v>15.573399999999999</v>
      </c>
      <c r="M121" s="33">
        <f t="shared" si="291"/>
        <v>1.5573399999999999E-2</v>
      </c>
      <c r="N121" s="33">
        <f t="shared" si="189"/>
        <v>0.14358264555199565</v>
      </c>
      <c r="O121" s="33">
        <f t="shared" si="190"/>
        <v>5.6528600611021913</v>
      </c>
      <c r="P121" s="58">
        <f t="shared" si="195"/>
        <v>6</v>
      </c>
      <c r="Q121" s="55">
        <f>IF(O121&gt;0,VLOOKUP(P121,'$ alcantarillado'!$I$5:$L$22,4,FALSE),"0")</f>
        <v>0.14499999999999999</v>
      </c>
      <c r="R121" s="55">
        <f t="shared" si="191"/>
        <v>1.5986727597372376E-2</v>
      </c>
      <c r="S121" s="35">
        <f t="shared" si="192"/>
        <v>0.97414557827079551</v>
      </c>
      <c r="T121" s="58">
        <f>+IF(S121&gt;$B$13,VLOOKUP(P121,'$ alcantarillado'!$I$6:$N$22,5),P121)</f>
        <v>8</v>
      </c>
      <c r="U121" s="55">
        <f>IF(O121&gt;0,VLOOKUP(T121,'$ alcantarillado'!$I$5:$L$22,4),"0")</f>
        <v>0.182</v>
      </c>
      <c r="V121" s="55">
        <f t="shared" si="193"/>
        <v>2.9306813703031953E-2</v>
      </c>
      <c r="W121" s="35">
        <f t="shared" si="292"/>
        <v>0.53139178341959581</v>
      </c>
      <c r="X121" s="35">
        <f t="shared" si="293"/>
        <v>1.1265123214855279</v>
      </c>
      <c r="Y121" s="55">
        <f>IF(T121&gt;0,(VLOOKUP($W121,Relaciones!$A$4:$D$108,2)),"")</f>
        <v>0.86499999999999999</v>
      </c>
      <c r="Z121" s="35">
        <f t="shared" si="294"/>
        <v>0.97443315808498165</v>
      </c>
      <c r="AA121" s="35">
        <f t="shared" si="295"/>
        <v>0.35546875</v>
      </c>
      <c r="AB121" s="46" t="str">
        <f t="shared" si="296"/>
        <v>OK</v>
      </c>
      <c r="AC121" s="46" t="str">
        <f t="shared" si="297"/>
        <v>OK</v>
      </c>
      <c r="AD121" s="46" t="str">
        <f t="shared" si="298"/>
        <v>OK</v>
      </c>
      <c r="AE121" s="48">
        <f t="shared" si="299"/>
        <v>1</v>
      </c>
      <c r="AF121" s="48">
        <f t="shared" si="299"/>
        <v>1</v>
      </c>
      <c r="AG121" s="48">
        <f t="shared" si="299"/>
        <v>1</v>
      </c>
      <c r="AH121" s="48">
        <f t="shared" si="300"/>
        <v>3</v>
      </c>
      <c r="AI121" s="46">
        <f t="shared" si="301"/>
        <v>0.68199999999999994</v>
      </c>
      <c r="AJ121" s="20">
        <f>IF(AI121&gt;0,I121*VLOOKUP(T121,'$ alcantarillado'!$I$6:$K$22,3),0)</f>
        <v>2654586.666666667</v>
      </c>
      <c r="AK121" s="20">
        <f t="shared" si="226"/>
        <v>4736571.8400000036</v>
      </c>
      <c r="AL121" s="20">
        <f t="shared" si="227"/>
        <v>2098828.8670000019</v>
      </c>
      <c r="AM121" s="20">
        <f t="shared" si="241"/>
        <v>9489987.373666672</v>
      </c>
      <c r="AN121" s="50">
        <f>+AP88</f>
        <v>31125253.832333364</v>
      </c>
      <c r="AO121" s="78">
        <f t="shared" si="302"/>
        <v>40615241.206000037</v>
      </c>
      <c r="AP121" s="215"/>
      <c r="AQ121" s="2"/>
      <c r="AR121" s="9"/>
    </row>
    <row r="122" spans="1:44" ht="15.75" thickBot="1" x14ac:dyDescent="0.3">
      <c r="A122" s="212"/>
      <c r="B122" s="212"/>
      <c r="C122" s="212"/>
      <c r="D122" s="212"/>
      <c r="E122" s="6">
        <v>5</v>
      </c>
      <c r="F122" s="65">
        <f>+H93</f>
        <v>46.14</v>
      </c>
      <c r="G122" s="6">
        <v>5</v>
      </c>
      <c r="H122" s="16">
        <f>+H121</f>
        <v>45.64</v>
      </c>
      <c r="I122" s="10">
        <f>+I121</f>
        <v>80</v>
      </c>
      <c r="J122" s="19">
        <f t="shared" si="229"/>
        <v>6.2500000000000003E-3</v>
      </c>
      <c r="K122" s="10">
        <f>+K121</f>
        <v>1281</v>
      </c>
      <c r="L122" s="16">
        <f t="shared" si="230"/>
        <v>15.573399999999999</v>
      </c>
      <c r="M122" s="34">
        <f t="shared" si="291"/>
        <v>1.5573399999999999E-2</v>
      </c>
      <c r="N122" s="34">
        <f t="shared" si="189"/>
        <v>0.14971750410516779</v>
      </c>
      <c r="O122" s="34">
        <f t="shared" si="190"/>
        <v>5.8943899254003069</v>
      </c>
      <c r="P122" s="59">
        <f t="shared" si="195"/>
        <v>6</v>
      </c>
      <c r="Q122" s="55">
        <f>IF(O122&gt;0,VLOOKUP(P122,'$ alcantarillado'!$I$5:$L$22,4,FALSE),"0")</f>
        <v>0.14499999999999999</v>
      </c>
      <c r="R122" s="47">
        <f t="shared" si="191"/>
        <v>1.4298963858198607E-2</v>
      </c>
      <c r="S122" s="35">
        <f t="shared" si="192"/>
        <v>1.0891278664971706</v>
      </c>
      <c r="T122" s="58">
        <f>+IF(S122&gt;$B$13,VLOOKUP(P122,'$ alcantarillado'!$I$6:$N$22,5),P122)</f>
        <v>8</v>
      </c>
      <c r="U122" s="55">
        <f>IF(O122&gt;0,VLOOKUP(T122,'$ alcantarillado'!$I$5:$L$22,4),"0")</f>
        <v>0.182</v>
      </c>
      <c r="V122" s="55">
        <f t="shared" si="193"/>
        <v>2.6212811057560712E-2</v>
      </c>
      <c r="W122" s="35">
        <f t="shared" si="292"/>
        <v>0.59411407520553094</v>
      </c>
      <c r="X122" s="35">
        <f t="shared" si="293"/>
        <v>1.0075832513330949</v>
      </c>
      <c r="Y122" s="55">
        <f>IF(T122&gt;0,(VLOOKUP($W122,Relaciones!$A$4:$D$108,2)),"")</f>
        <v>0.89500000000000002</v>
      </c>
      <c r="Z122" s="35">
        <f t="shared" si="294"/>
        <v>0.90178700994312</v>
      </c>
      <c r="AA122" s="35">
        <f t="shared" si="295"/>
        <v>0.28437499999999999</v>
      </c>
      <c r="AB122" s="46" t="str">
        <f t="shared" si="296"/>
        <v>OK</v>
      </c>
      <c r="AC122" s="46" t="str">
        <f t="shared" si="297"/>
        <v>OK</v>
      </c>
      <c r="AD122" s="46" t="str">
        <f t="shared" si="298"/>
        <v>OK</v>
      </c>
      <c r="AE122" s="48">
        <f t="shared" si="299"/>
        <v>1</v>
      </c>
      <c r="AF122" s="48">
        <f t="shared" si="299"/>
        <v>1</v>
      </c>
      <c r="AG122" s="48">
        <f t="shared" si="299"/>
        <v>1</v>
      </c>
      <c r="AH122" s="48">
        <f t="shared" si="300"/>
        <v>3</v>
      </c>
      <c r="AI122" s="46">
        <f t="shared" si="301"/>
        <v>0.68199999999999994</v>
      </c>
      <c r="AJ122" s="22">
        <f>IF(AI122&gt;0,I122*VLOOKUP(T122,'$ alcantarillado'!$I$6:$K$22,3),0)</f>
        <v>2654586.666666667</v>
      </c>
      <c r="AK122" s="20">
        <f t="shared" si="226"/>
        <v>4859331.8400000026</v>
      </c>
      <c r="AL122" s="20">
        <f t="shared" si="227"/>
        <v>2186076.4920000019</v>
      </c>
      <c r="AM122" s="22">
        <f t="shared" si="241"/>
        <v>9699994.998666672</v>
      </c>
      <c r="AN122" s="51">
        <f>+AP93</f>
        <v>30165020.957333364</v>
      </c>
      <c r="AO122" s="79">
        <f t="shared" si="302"/>
        <v>39865015.956000037</v>
      </c>
      <c r="AP122" s="216"/>
      <c r="AQ122" s="2"/>
      <c r="AR122" s="9"/>
    </row>
    <row r="123" spans="1:44" x14ac:dyDescent="0.25">
      <c r="A123" s="229">
        <v>5</v>
      </c>
      <c r="B123" s="229">
        <f>+C98</f>
        <v>7</v>
      </c>
      <c r="C123" s="229">
        <v>10</v>
      </c>
      <c r="D123" s="229">
        <v>49.09</v>
      </c>
      <c r="E123" s="127">
        <v>1</v>
      </c>
      <c r="F123" s="129">
        <f>+H98</f>
        <v>46.14</v>
      </c>
      <c r="G123" s="127">
        <v>1</v>
      </c>
      <c r="H123" s="136">
        <f>+H133+2*$B$15</f>
        <v>44.64</v>
      </c>
      <c r="I123" s="129">
        <v>75</v>
      </c>
      <c r="J123" s="130">
        <f>+(F123-H123)/I123</f>
        <v>0.02</v>
      </c>
      <c r="K123" s="129">
        <f>+K112+H7</f>
        <v>1460</v>
      </c>
      <c r="L123" s="132">
        <f>IF(K123&lt;38,K123^0.3686*0.7401,IF(K123&lt;235,K123^0.4193*0.6215,IF(K123&lt;932,K123*0.0092+4.2493,K123*0.0069+6.7345)))</f>
        <v>16.808499999999999</v>
      </c>
      <c r="M123" s="133">
        <f>+L123/1000</f>
        <v>1.6808499999999997E-2</v>
      </c>
      <c r="N123" s="133">
        <f t="shared" si="189"/>
        <v>0.12387581578857372</v>
      </c>
      <c r="O123" s="133">
        <f t="shared" si="190"/>
        <v>4.8770006215973911</v>
      </c>
      <c r="P123" s="134">
        <f t="shared" si="195"/>
        <v>6</v>
      </c>
      <c r="Q123" s="135">
        <f>IF(O123&gt;0,VLOOKUP(P123,'$ alcantarillado'!$I$5:$L$22,4,FALSE),"0")</f>
        <v>0.14499999999999999</v>
      </c>
      <c r="R123" s="135">
        <f t="shared" si="191"/>
        <v>2.55787641557958E-2</v>
      </c>
      <c r="S123" s="136">
        <f t="shared" si="192"/>
        <v>0.65712713474436646</v>
      </c>
      <c r="T123" s="134">
        <f>+IF(S123&gt;$B$13,VLOOKUP(P123,'$ alcantarillado'!$I$6:$N$22,5),P123)</f>
        <v>6</v>
      </c>
      <c r="U123" s="135">
        <f>IF(O123&gt;0,VLOOKUP(T123,'$ alcantarillado'!$I$5:$L$22,4),"0")</f>
        <v>0.14499999999999999</v>
      </c>
      <c r="V123" s="135">
        <f t="shared" si="193"/>
        <v>2.55787641557958E-2</v>
      </c>
      <c r="W123" s="136">
        <f t="shared" si="292"/>
        <v>0.65712713474436646</v>
      </c>
      <c r="X123" s="136">
        <f>IF(T123&gt;0,4*V123/(PI()*(U123)^2),"")</f>
        <v>1.5490080394108703</v>
      </c>
      <c r="Y123" s="135">
        <f>IF(T123&gt;0,(VLOOKUP($W123,Relaciones!$A$4:$D$108,2)),"")</f>
        <v>0.92200000000000004</v>
      </c>
      <c r="Z123" s="136">
        <f>IF(T123&gt;0,Y123*X123,"")</f>
        <v>1.4281854123368225</v>
      </c>
      <c r="AA123" s="136">
        <f>IF(T123&gt;0,250*U123*J123,"")</f>
        <v>0.72499999999999998</v>
      </c>
      <c r="AB123" s="137" t="str">
        <f>IF(T123&gt;0,IF(W123&lt;=$B$13,"OK","No Cumple"),"")</f>
        <v>OK</v>
      </c>
      <c r="AC123" s="137" t="str">
        <f>IF(T123&gt;0,IF(Z123&gt;=$B$12,"OK","No Cumple"),"")</f>
        <v>OK</v>
      </c>
      <c r="AD123" s="137" t="str">
        <f>IF(T123&gt;0,IF(AA123&gt;$B$14,"OK","No Cumple"),"")</f>
        <v>OK</v>
      </c>
      <c r="AE123" s="138">
        <f>+IF(AB123="OK",1,0)</f>
        <v>1</v>
      </c>
      <c r="AF123" s="138">
        <f>+IF(AC123="OK",1,0)</f>
        <v>1</v>
      </c>
      <c r="AG123" s="138">
        <f>+IF(AD123="OK",1,0)</f>
        <v>1</v>
      </c>
      <c r="AH123" s="138">
        <f>SUM(AE123:AG123)</f>
        <v>3</v>
      </c>
      <c r="AI123" s="137">
        <f>IF(AH123=3,2*$B$7+U123,0)</f>
        <v>0.64500000000000002</v>
      </c>
      <c r="AJ123" s="139">
        <f>IF(AI123&gt;0,I123*VLOOKUP(T123,'$ alcantarillado'!$I$6:$K$22,3),0)</f>
        <v>1792662.5</v>
      </c>
      <c r="AK123" s="139">
        <f t="shared" ref="AK123:AK147" si="306">IF(N123&gt;0,((($D$123-F123)+(U123))+(($D$148-H123)+(U123))/2)*AI123*I123*$C$9,0)</f>
        <v>4260144.3750000037</v>
      </c>
      <c r="AL123" s="139">
        <f t="shared" ref="AL123:AL147" si="307">IF(AI123&gt;0,(($D$123-F123)+U123)*$C$10,0)</f>
        <v>2160251.1950000022</v>
      </c>
      <c r="AM123" s="139">
        <f>IF(AJ123&gt;0,AJ123+AK123+AL123,0)</f>
        <v>8213058.0700000059</v>
      </c>
      <c r="AN123" s="162">
        <f>IF(AP98&gt;0,+AP98,0)</f>
        <v>39557421.926333368</v>
      </c>
      <c r="AO123" s="140">
        <f>IF((AM123)&gt;0,IF(AN123&gt;0,AM123+AN123,""),"")</f>
        <v>47770479.996333376</v>
      </c>
      <c r="AP123" s="225">
        <f>+MIN(AO123:AO127)</f>
        <v>47489447.651000038</v>
      </c>
      <c r="AQ123" s="129"/>
      <c r="AR123" s="163"/>
    </row>
    <row r="124" spans="1:44" x14ac:dyDescent="0.25">
      <c r="A124" s="230"/>
      <c r="B124" s="230"/>
      <c r="C124" s="230"/>
      <c r="D124" s="230"/>
      <c r="E124" s="141">
        <v>2</v>
      </c>
      <c r="F124" s="142">
        <f>+H103</f>
        <v>46.015000000000001</v>
      </c>
      <c r="G124" s="141">
        <v>1</v>
      </c>
      <c r="H124" s="146">
        <f>+H123</f>
        <v>44.64</v>
      </c>
      <c r="I124" s="142">
        <f>+I123</f>
        <v>75</v>
      </c>
      <c r="J124" s="143">
        <f t="shared" ref="J124:J147" si="308">+(F124-H124)/I124</f>
        <v>1.8333333333333333E-2</v>
      </c>
      <c r="K124" s="142">
        <f>+K123</f>
        <v>1460</v>
      </c>
      <c r="L124" s="128">
        <f t="shared" ref="L124:L147" si="309">IF(K124&lt;38,K124^0.3686*0.7401,IF(K124&lt;235,K124^0.4193*0.6215,IF(K124&lt;932,K124*0.0092+4.2493,K124*0.0069+6.7345)))</f>
        <v>16.808499999999999</v>
      </c>
      <c r="M124" s="144">
        <f t="shared" ref="M124:M127" si="310">+L124/1000</f>
        <v>1.6808499999999997E-2</v>
      </c>
      <c r="N124" s="144">
        <f t="shared" si="189"/>
        <v>0.1259133801470671</v>
      </c>
      <c r="O124" s="144">
        <f t="shared" si="190"/>
        <v>4.9572196908294135</v>
      </c>
      <c r="P124" s="145">
        <f t="shared" si="195"/>
        <v>6</v>
      </c>
      <c r="Q124" s="113">
        <f>IF(O124&gt;0,VLOOKUP(P124,'$ alcantarillado'!$I$5:$L$22,4,FALSE),"0")</f>
        <v>0.14499999999999999</v>
      </c>
      <c r="R124" s="113">
        <f t="shared" si="191"/>
        <v>2.4489802185665068E-2</v>
      </c>
      <c r="S124" s="146">
        <f t="shared" si="192"/>
        <v>0.68634690768709983</v>
      </c>
      <c r="T124" s="145">
        <f>+IF(S124&gt;$B$13,VLOOKUP(P124,'$ alcantarillado'!$I$6:$N$22,5),P124)</f>
        <v>6</v>
      </c>
      <c r="U124" s="113">
        <f>IF(O124&gt;0,VLOOKUP(T124,'$ alcantarillado'!$I$5:$L$22,4),"0")</f>
        <v>0.14499999999999999</v>
      </c>
      <c r="V124" s="113">
        <f t="shared" si="193"/>
        <v>2.4489802185665068E-2</v>
      </c>
      <c r="W124" s="146">
        <f t="shared" si="292"/>
        <v>0.68634690768709983</v>
      </c>
      <c r="X124" s="146">
        <f t="shared" ref="X124:X127" si="311">IF(T124&gt;0,4*V124/(PI()*(U124)^2),"")</f>
        <v>1.4830622870644654</v>
      </c>
      <c r="Y124" s="113">
        <f>IF(T124&gt;0,(VLOOKUP($W124,Relaciones!$A$4:$D$108,2)),"")</f>
        <v>0.93600000000000005</v>
      </c>
      <c r="Z124" s="146">
        <f t="shared" ref="Z124:Z127" si="312">IF(T124&gt;0,Y124*X124,"")</f>
        <v>1.3881463006923398</v>
      </c>
      <c r="AA124" s="146">
        <f t="shared" ref="AA124:AA127" si="313">IF(T124&gt;0,250*U124*J124,"")</f>
        <v>0.6645833333333333</v>
      </c>
      <c r="AB124" s="147" t="str">
        <f t="shared" ref="AB124:AB127" si="314">IF(T124&gt;0,IF(W124&lt;=$B$13,"OK","No Cumple"),"")</f>
        <v>OK</v>
      </c>
      <c r="AC124" s="147" t="str">
        <f t="shared" ref="AC124:AC127" si="315">IF(T124&gt;0,IF(Z124&gt;=$B$12,"OK","No Cumple"),"")</f>
        <v>OK</v>
      </c>
      <c r="AD124" s="147" t="str">
        <f t="shared" ref="AD124:AD127" si="316">IF(T124&gt;0,IF(AA124&gt;$B$14,"OK","No Cumple"),"")</f>
        <v>OK</v>
      </c>
      <c r="AE124" s="148">
        <f t="shared" ref="AE124:AG127" si="317">+IF(AB124="OK",1,0)</f>
        <v>1</v>
      </c>
      <c r="AF124" s="148">
        <f t="shared" si="317"/>
        <v>1</v>
      </c>
      <c r="AG124" s="148">
        <f t="shared" si="317"/>
        <v>1</v>
      </c>
      <c r="AH124" s="148">
        <f t="shared" ref="AH124:AH127" si="318">SUM(AE124:AG124)</f>
        <v>3</v>
      </c>
      <c r="AI124" s="147">
        <f t="shared" ref="AI124:AI127" si="319">IF(AH124=3,2*$B$7+U124,0)</f>
        <v>0.64500000000000002</v>
      </c>
      <c r="AJ124" s="149">
        <f>IF(AI124&gt;0,I124*VLOOKUP(T124,'$ alcantarillado'!$I$6:$K$22,3),0)</f>
        <v>1792662.5</v>
      </c>
      <c r="AK124" s="149">
        <f t="shared" si="306"/>
        <v>4368988.1250000037</v>
      </c>
      <c r="AL124" s="149">
        <f t="shared" si="307"/>
        <v>2247498.8200000022</v>
      </c>
      <c r="AM124" s="149">
        <f t="shared" ref="AM124:AM147" si="320">IF(AJ124&gt;0,AJ124+AK124+AL124,0)</f>
        <v>8409149.4450000059</v>
      </c>
      <c r="AN124" s="164">
        <f>+AP103</f>
        <v>39618801.926333368</v>
      </c>
      <c r="AO124" s="150">
        <f t="shared" ref="AO124:AO127" si="321">IF((AM124)&gt;0,IF(AN124&gt;0,AM124+AN124,""),"")</f>
        <v>48027951.371333376</v>
      </c>
      <c r="AP124" s="226"/>
      <c r="AQ124" s="142">
        <v>1</v>
      </c>
      <c r="AR124" s="165">
        <v>1</v>
      </c>
    </row>
    <row r="125" spans="1:44" x14ac:dyDescent="0.25">
      <c r="A125" s="230"/>
      <c r="B125" s="230"/>
      <c r="C125" s="230"/>
      <c r="D125" s="230"/>
      <c r="E125" s="151">
        <v>3</v>
      </c>
      <c r="F125" s="142">
        <f>+H108</f>
        <v>45.89</v>
      </c>
      <c r="G125" s="151">
        <v>1</v>
      </c>
      <c r="H125" s="142">
        <f t="shared" ref="H125:H126" si="322">+H124</f>
        <v>44.64</v>
      </c>
      <c r="I125" s="142">
        <f t="shared" ref="I125:I126" si="323">+I124</f>
        <v>75</v>
      </c>
      <c r="J125" s="143">
        <f t="shared" si="308"/>
        <v>1.6666666666666666E-2</v>
      </c>
      <c r="K125" s="142">
        <f t="shared" ref="K125:K126" si="324">+K124</f>
        <v>1460</v>
      </c>
      <c r="L125" s="128">
        <f t="shared" si="309"/>
        <v>16.808499999999999</v>
      </c>
      <c r="M125" s="144">
        <f t="shared" si="310"/>
        <v>1.6808499999999997E-2</v>
      </c>
      <c r="N125" s="144">
        <f t="shared" si="189"/>
        <v>0.12818376137295873</v>
      </c>
      <c r="O125" s="144">
        <f t="shared" si="190"/>
        <v>5.0466047784629424</v>
      </c>
      <c r="P125" s="145">
        <f t="shared" si="195"/>
        <v>6</v>
      </c>
      <c r="Q125" s="113">
        <f>IF(O125&gt;0,VLOOKUP(P125,'$ alcantarillado'!$I$5:$L$22,4,FALSE),"0")</f>
        <v>0.14499999999999999</v>
      </c>
      <c r="R125" s="113">
        <f t="shared" si="191"/>
        <v>2.335011020205658E-2</v>
      </c>
      <c r="S125" s="146">
        <f t="shared" si="192"/>
        <v>0.71984670969645248</v>
      </c>
      <c r="T125" s="145">
        <f>+IF(S125&gt;$B$13,VLOOKUP(P125,'$ alcantarillado'!$I$6:$N$22,5),P125)</f>
        <v>6</v>
      </c>
      <c r="U125" s="113">
        <f>IF(O125&gt;0,VLOOKUP(T125,'$ alcantarillado'!$I$5:$L$22,4),"0")</f>
        <v>0.14499999999999999</v>
      </c>
      <c r="V125" s="113">
        <f t="shared" si="193"/>
        <v>2.335011020205658E-2</v>
      </c>
      <c r="W125" s="146">
        <f t="shared" si="292"/>
        <v>0.71984670969645248</v>
      </c>
      <c r="X125" s="146">
        <f t="shared" si="311"/>
        <v>1.4140444082369752</v>
      </c>
      <c r="Y125" s="113">
        <f>IF(T125&gt;0,(VLOOKUP($W125,Relaciones!$A$4:$D$108,2)),"")</f>
        <v>0.95099999999999996</v>
      </c>
      <c r="Z125" s="146">
        <f t="shared" si="312"/>
        <v>1.3447562322333633</v>
      </c>
      <c r="AA125" s="146">
        <f t="shared" si="313"/>
        <v>0.60416666666666663</v>
      </c>
      <c r="AB125" s="147" t="str">
        <f t="shared" si="314"/>
        <v>OK</v>
      </c>
      <c r="AC125" s="147" t="str">
        <f t="shared" si="315"/>
        <v>OK</v>
      </c>
      <c r="AD125" s="147" t="str">
        <f t="shared" si="316"/>
        <v>OK</v>
      </c>
      <c r="AE125" s="148">
        <f t="shared" si="317"/>
        <v>1</v>
      </c>
      <c r="AF125" s="148">
        <f t="shared" si="317"/>
        <v>1</v>
      </c>
      <c r="AG125" s="148">
        <f t="shared" si="317"/>
        <v>1</v>
      </c>
      <c r="AH125" s="148">
        <f t="shared" si="318"/>
        <v>3</v>
      </c>
      <c r="AI125" s="147">
        <f t="shared" si="319"/>
        <v>0.64500000000000002</v>
      </c>
      <c r="AJ125" s="149">
        <f>IF(AI125&gt;0,I125*VLOOKUP(T125,'$ alcantarillado'!$I$6:$K$22,3),0)</f>
        <v>1792662.5</v>
      </c>
      <c r="AK125" s="149">
        <f t="shared" si="306"/>
        <v>4477831.8750000037</v>
      </c>
      <c r="AL125" s="149">
        <f t="shared" si="307"/>
        <v>2334746.4450000022</v>
      </c>
      <c r="AM125" s="149">
        <f t="shared" si="320"/>
        <v>8605240.8200000059</v>
      </c>
      <c r="AN125" s="164">
        <f>+AP108</f>
        <v>39680181.926333368</v>
      </c>
      <c r="AO125" s="150">
        <f t="shared" si="321"/>
        <v>48285422.746333376</v>
      </c>
      <c r="AP125" s="227"/>
      <c r="AQ125" s="142"/>
      <c r="AR125" s="165"/>
    </row>
    <row r="126" spans="1:44" x14ac:dyDescent="0.25">
      <c r="A126" s="230"/>
      <c r="B126" s="230"/>
      <c r="C126" s="230"/>
      <c r="D126" s="230"/>
      <c r="E126" s="151">
        <v>4</v>
      </c>
      <c r="F126" s="142">
        <f>+H113</f>
        <v>45.765000000000001</v>
      </c>
      <c r="G126" s="151">
        <v>1</v>
      </c>
      <c r="H126" s="142">
        <f t="shared" si="322"/>
        <v>44.64</v>
      </c>
      <c r="I126" s="142">
        <f t="shared" si="323"/>
        <v>75</v>
      </c>
      <c r="J126" s="143">
        <f>+(F126-H126)/I126</f>
        <v>1.4999999999999999E-2</v>
      </c>
      <c r="K126" s="142">
        <f t="shared" si="324"/>
        <v>1460</v>
      </c>
      <c r="L126" s="128">
        <f t="shared" si="309"/>
        <v>16.808499999999999</v>
      </c>
      <c r="M126" s="144">
        <f t="shared" si="310"/>
        <v>1.6808499999999997E-2</v>
      </c>
      <c r="N126" s="144">
        <f t="shared" si="189"/>
        <v>0.13074122224264353</v>
      </c>
      <c r="O126" s="144">
        <f t="shared" si="190"/>
        <v>5.1472922142773045</v>
      </c>
      <c r="P126" s="145">
        <f t="shared" si="195"/>
        <v>6</v>
      </c>
      <c r="Q126" s="113">
        <f>IF(O126&gt;0,VLOOKUP(P126,'$ alcantarillado'!$I$5:$L$22,4,FALSE),"0")</f>
        <v>0.14499999999999999</v>
      </c>
      <c r="R126" s="113">
        <f t="shared" si="191"/>
        <v>2.2151859556329985E-2</v>
      </c>
      <c r="S126" s="146">
        <f t="shared" si="192"/>
        <v>0.7587850562729348</v>
      </c>
      <c r="T126" s="145">
        <f>+IF(S126&gt;$B$13,VLOOKUP(P126,'$ alcantarillado'!$I$6:$N$22,5),P126)</f>
        <v>6</v>
      </c>
      <c r="U126" s="113">
        <f>IF(O126&gt;0,VLOOKUP(T126,'$ alcantarillado'!$I$5:$L$22,4),"0")</f>
        <v>0.14499999999999999</v>
      </c>
      <c r="V126" s="113">
        <f t="shared" si="193"/>
        <v>2.2151859556329985E-2</v>
      </c>
      <c r="W126" s="146">
        <f t="shared" si="292"/>
        <v>0.7587850562729348</v>
      </c>
      <c r="X126" s="146">
        <f t="shared" si="311"/>
        <v>1.3414803127961406</v>
      </c>
      <c r="Y126" s="113">
        <f>IF(T126&gt;0,(VLOOKUP($W126,Relaciones!$A$4:$D$108,2)),"")</f>
        <v>0.96499999999999997</v>
      </c>
      <c r="Z126" s="146">
        <f t="shared" si="312"/>
        <v>1.2945285018482755</v>
      </c>
      <c r="AA126" s="146">
        <f t="shared" si="313"/>
        <v>0.54374999999999996</v>
      </c>
      <c r="AB126" s="147" t="str">
        <f t="shared" si="314"/>
        <v>OK</v>
      </c>
      <c r="AC126" s="147" t="str">
        <f t="shared" si="315"/>
        <v>OK</v>
      </c>
      <c r="AD126" s="147" t="str">
        <f t="shared" si="316"/>
        <v>OK</v>
      </c>
      <c r="AE126" s="148">
        <f t="shared" si="317"/>
        <v>1</v>
      </c>
      <c r="AF126" s="148">
        <f t="shared" si="317"/>
        <v>1</v>
      </c>
      <c r="AG126" s="148">
        <f t="shared" si="317"/>
        <v>1</v>
      </c>
      <c r="AH126" s="148">
        <f t="shared" si="318"/>
        <v>3</v>
      </c>
      <c r="AI126" s="147">
        <f t="shared" si="319"/>
        <v>0.64500000000000002</v>
      </c>
      <c r="AJ126" s="149">
        <f>IF(AI126&gt;0,I126*VLOOKUP(T126,'$ alcantarillado'!$I$6:$K$22,3),0)</f>
        <v>1792662.5</v>
      </c>
      <c r="AK126" s="149">
        <f t="shared" si="306"/>
        <v>4586675.6250000037</v>
      </c>
      <c r="AL126" s="149">
        <f t="shared" si="307"/>
        <v>2421994.0700000022</v>
      </c>
      <c r="AM126" s="149">
        <f t="shared" si="320"/>
        <v>8801332.1950000059</v>
      </c>
      <c r="AN126" s="164">
        <f>+AP113</f>
        <v>38688115.45600003</v>
      </c>
      <c r="AO126" s="161">
        <f t="shared" si="321"/>
        <v>47489447.651000038</v>
      </c>
      <c r="AP126" s="227"/>
      <c r="AQ126" s="142"/>
      <c r="AR126" s="165"/>
    </row>
    <row r="127" spans="1:44" ht="15.75" thickBot="1" x14ac:dyDescent="0.3">
      <c r="A127" s="230"/>
      <c r="B127" s="230"/>
      <c r="C127" s="230"/>
      <c r="D127" s="230"/>
      <c r="E127" s="152">
        <v>5</v>
      </c>
      <c r="F127" s="153">
        <f>+H118</f>
        <v>45.64</v>
      </c>
      <c r="G127" s="152">
        <v>1</v>
      </c>
      <c r="H127" s="154">
        <f>+H126</f>
        <v>44.64</v>
      </c>
      <c r="I127" s="154">
        <f>+I126</f>
        <v>75</v>
      </c>
      <c r="J127" s="155">
        <f t="shared" si="308"/>
        <v>1.3333333333333334E-2</v>
      </c>
      <c r="K127" s="154">
        <f>+K126</f>
        <v>1460</v>
      </c>
      <c r="L127" s="153">
        <f t="shared" si="309"/>
        <v>16.808499999999999</v>
      </c>
      <c r="M127" s="156">
        <f t="shared" si="310"/>
        <v>1.6808499999999997E-2</v>
      </c>
      <c r="N127" s="156">
        <f t="shared" si="189"/>
        <v>0.13366067149544208</v>
      </c>
      <c r="O127" s="156">
        <f t="shared" si="190"/>
        <v>5.2622311612378772</v>
      </c>
      <c r="P127" s="157">
        <f t="shared" si="195"/>
        <v>6</v>
      </c>
      <c r="Q127" s="113">
        <f>IF(O127&gt;0,VLOOKUP(P127,'$ alcantarillado'!$I$5:$L$22,4,FALSE),"0")</f>
        <v>0.14499999999999999</v>
      </c>
      <c r="R127" s="113">
        <f t="shared" si="191"/>
        <v>2.0884973477563944E-2</v>
      </c>
      <c r="S127" s="146">
        <f t="shared" si="192"/>
        <v>0.80481308813041241</v>
      </c>
      <c r="T127" s="145">
        <f>+IF(S127&gt;$B$13,VLOOKUP(P127,'$ alcantarillado'!$I$6:$N$22,5),P127)</f>
        <v>6</v>
      </c>
      <c r="U127" s="113">
        <f>IF(O127&gt;0,VLOOKUP(T127,'$ alcantarillado'!$I$5:$L$22,4),"0")</f>
        <v>0.14499999999999999</v>
      </c>
      <c r="V127" s="113">
        <f t="shared" si="193"/>
        <v>2.0884973477563944E-2</v>
      </c>
      <c r="W127" s="146">
        <f t="shared" si="292"/>
        <v>0.80481308813041241</v>
      </c>
      <c r="X127" s="146">
        <f t="shared" si="311"/>
        <v>1.2647597680085358</v>
      </c>
      <c r="Y127" s="113">
        <f>IF(T127&gt;0,(VLOOKUP($W127,Relaciones!$A$4:$D$108,2)),"")</f>
        <v>0.98399999999999999</v>
      </c>
      <c r="Z127" s="146">
        <f t="shared" si="312"/>
        <v>1.2445236117203993</v>
      </c>
      <c r="AA127" s="146">
        <f t="shared" si="313"/>
        <v>0.48333333333333334</v>
      </c>
      <c r="AB127" s="147" t="str">
        <f t="shared" si="314"/>
        <v>OK</v>
      </c>
      <c r="AC127" s="147" t="str">
        <f t="shared" si="315"/>
        <v>OK</v>
      </c>
      <c r="AD127" s="147" t="str">
        <f t="shared" si="316"/>
        <v>OK</v>
      </c>
      <c r="AE127" s="148">
        <f t="shared" si="317"/>
        <v>1</v>
      </c>
      <c r="AF127" s="148">
        <f t="shared" si="317"/>
        <v>1</v>
      </c>
      <c r="AG127" s="148">
        <f t="shared" si="317"/>
        <v>1</v>
      </c>
      <c r="AH127" s="148">
        <f t="shared" si="318"/>
        <v>3</v>
      </c>
      <c r="AI127" s="147">
        <f t="shared" si="319"/>
        <v>0.64500000000000002</v>
      </c>
      <c r="AJ127" s="158">
        <f>IF(AI127&gt;0,I127*VLOOKUP(T127,'$ alcantarillado'!$I$6:$K$22,3),0)</f>
        <v>1792662.5</v>
      </c>
      <c r="AK127" s="149">
        <f t="shared" si="306"/>
        <v>4695519.3750000037</v>
      </c>
      <c r="AL127" s="149">
        <f t="shared" si="307"/>
        <v>2509241.6950000022</v>
      </c>
      <c r="AM127" s="158">
        <f t="shared" si="320"/>
        <v>8997423.5700000059</v>
      </c>
      <c r="AN127" s="164">
        <f>+AP118</f>
        <v>38746165.45600003</v>
      </c>
      <c r="AO127" s="159">
        <f t="shared" si="321"/>
        <v>47743589.026000038</v>
      </c>
      <c r="AP127" s="228"/>
      <c r="AQ127" s="154"/>
      <c r="AR127" s="166"/>
    </row>
    <row r="128" spans="1:44" x14ac:dyDescent="0.25">
      <c r="A128" s="230"/>
      <c r="B128" s="230"/>
      <c r="C128" s="230"/>
      <c r="D128" s="230"/>
      <c r="E128" s="127">
        <v>1</v>
      </c>
      <c r="F128" s="129">
        <f>+H98</f>
        <v>46.14</v>
      </c>
      <c r="G128" s="127">
        <v>2</v>
      </c>
      <c r="H128" s="146">
        <f>+H133+$B$15</f>
        <v>44.515000000000001</v>
      </c>
      <c r="I128" s="142">
        <f>+I127</f>
        <v>75</v>
      </c>
      <c r="J128" s="143">
        <f>+(F128-H128)/I128</f>
        <v>2.1666666666666667E-2</v>
      </c>
      <c r="K128" s="142">
        <f>+K127</f>
        <v>1460</v>
      </c>
      <c r="L128" s="132">
        <f>IF(K128&lt;38,K128^0.3686*0.7401,IF(K128&lt;235,K128^0.4193*0.6215,IF(K128&lt;932,K128*0.0092+4.2493,K128*0.0069+6.7345)))</f>
        <v>16.808499999999999</v>
      </c>
      <c r="M128" s="133">
        <f>+L128/1000</f>
        <v>1.6808499999999997E-2</v>
      </c>
      <c r="N128" s="133">
        <f t="shared" si="189"/>
        <v>0.12203056797467006</v>
      </c>
      <c r="O128" s="133">
        <f t="shared" si="190"/>
        <v>4.8043530698688999</v>
      </c>
      <c r="P128" s="134">
        <f t="shared" si="195"/>
        <v>6</v>
      </c>
      <c r="Q128" s="135">
        <f>IF(O128&gt;0,VLOOKUP(P128,'$ alcantarillado'!$I$5:$L$22,4,FALSE),"0")</f>
        <v>0.14499999999999999</v>
      </c>
      <c r="R128" s="135">
        <f t="shared" si="191"/>
        <v>2.6623221825741582E-2</v>
      </c>
      <c r="S128" s="136">
        <f t="shared" si="192"/>
        <v>0.63134732941105265</v>
      </c>
      <c r="T128" s="134">
        <f>+IF(S128&gt;$B$13,VLOOKUP(P128,'$ alcantarillado'!$I$6:$N$22,5),P128)</f>
        <v>6</v>
      </c>
      <c r="U128" s="135">
        <f>IF(O128&gt;0,VLOOKUP(T128,'$ alcantarillado'!$I$5:$L$22,4),"0")</f>
        <v>0.14499999999999999</v>
      </c>
      <c r="V128" s="135">
        <f t="shared" si="193"/>
        <v>2.6623221825741582E-2</v>
      </c>
      <c r="W128" s="136">
        <f t="shared" si="292"/>
        <v>0.63134732941105265</v>
      </c>
      <c r="X128" s="136">
        <f>IF(T128&gt;0,4*V128/(PI()*(U128)^2),"")</f>
        <v>1.6122586842706521</v>
      </c>
      <c r="Y128" s="135">
        <f>IF(T128&gt;0,(VLOOKUP($W128,Relaciones!$A$4:$D$108,2)),"")</f>
        <v>0.91300000000000003</v>
      </c>
      <c r="Z128" s="136">
        <f>IF(T128&gt;0,Y128*X128,"")</f>
        <v>1.4719921787391055</v>
      </c>
      <c r="AA128" s="136">
        <f>IF(T128&gt;0,250*U128*J128,"")</f>
        <v>0.78541666666666665</v>
      </c>
      <c r="AB128" s="137" t="str">
        <f>IF(T128&gt;0,IF(W128&lt;=$B$13,"OK","No Cumple"),"")</f>
        <v>OK</v>
      </c>
      <c r="AC128" s="137" t="str">
        <f>IF(T128&gt;0,IF(Z128&gt;=$B$12,"OK","No Cumple"),"")</f>
        <v>OK</v>
      </c>
      <c r="AD128" s="137" t="str">
        <f>IF(T128&gt;0,IF(AA128&gt;$B$14,"OK","No Cumple"),"")</f>
        <v>OK</v>
      </c>
      <c r="AE128" s="138">
        <f>+IF(AB128="OK",1,0)</f>
        <v>1</v>
      </c>
      <c r="AF128" s="138">
        <f>+IF(AC128="OK",1,0)</f>
        <v>1</v>
      </c>
      <c r="AG128" s="138">
        <f>+IF(AD128="OK",1,0)</f>
        <v>1</v>
      </c>
      <c r="AH128" s="138">
        <f>SUM(AE128:AG128)</f>
        <v>3</v>
      </c>
      <c r="AI128" s="137">
        <f>IF(AH128=3,2*$B$7+U128,0)</f>
        <v>0.64500000000000002</v>
      </c>
      <c r="AJ128" s="139">
        <f>IF(AI128&gt;0,I128*VLOOKUP(T128,'$ alcantarillado'!$I$6:$K$22,3),0)</f>
        <v>1792662.5</v>
      </c>
      <c r="AK128" s="139">
        <f t="shared" si="306"/>
        <v>4314566.2500000037</v>
      </c>
      <c r="AL128" s="139">
        <f t="shared" si="307"/>
        <v>2160251.1950000022</v>
      </c>
      <c r="AM128" s="139">
        <f>IF(AJ128&gt;0,AJ128+AK128+AL128,0)</f>
        <v>8267479.9450000059</v>
      </c>
      <c r="AN128" s="162">
        <f>IF(AP98&gt;0,+AP98,0)</f>
        <v>39557421.926333368</v>
      </c>
      <c r="AO128" s="140">
        <f>IF((AM128)&gt;0,IF(AN128&gt;0,AM128+AN128,""),"")</f>
        <v>47824901.871333376</v>
      </c>
      <c r="AP128" s="217">
        <f>+MIN(AO128:AO132)</f>
        <v>47543869.526000038</v>
      </c>
      <c r="AQ128" s="142"/>
      <c r="AR128" s="165"/>
    </row>
    <row r="129" spans="1:44" x14ac:dyDescent="0.25">
      <c r="A129" s="230"/>
      <c r="B129" s="230"/>
      <c r="C129" s="230"/>
      <c r="D129" s="230"/>
      <c r="E129" s="141">
        <v>2</v>
      </c>
      <c r="F129" s="142">
        <f>+H103</f>
        <v>46.015000000000001</v>
      </c>
      <c r="G129" s="141">
        <v>2</v>
      </c>
      <c r="H129" s="146">
        <f>+H128</f>
        <v>44.515000000000001</v>
      </c>
      <c r="I129" s="142">
        <f>+I128</f>
        <v>75</v>
      </c>
      <c r="J129" s="143">
        <f t="shared" si="308"/>
        <v>0.02</v>
      </c>
      <c r="K129" s="142">
        <f>+K128</f>
        <v>1460</v>
      </c>
      <c r="L129" s="128">
        <f t="shared" si="309"/>
        <v>16.808499999999999</v>
      </c>
      <c r="M129" s="144">
        <f t="shared" ref="M129:M132" si="325">+L129/1000</f>
        <v>1.6808499999999997E-2</v>
      </c>
      <c r="N129" s="144">
        <f t="shared" si="189"/>
        <v>0.12387581578857372</v>
      </c>
      <c r="O129" s="144">
        <f t="shared" si="190"/>
        <v>4.8770006215973911</v>
      </c>
      <c r="P129" s="145">
        <f t="shared" si="195"/>
        <v>6</v>
      </c>
      <c r="Q129" s="113">
        <f>IF(O129&gt;0,VLOOKUP(P129,'$ alcantarillado'!$I$5:$L$22,4,FALSE),"0")</f>
        <v>0.14499999999999999</v>
      </c>
      <c r="R129" s="113">
        <f t="shared" si="191"/>
        <v>2.55787641557958E-2</v>
      </c>
      <c r="S129" s="146">
        <f t="shared" si="192"/>
        <v>0.65712713474436646</v>
      </c>
      <c r="T129" s="145">
        <f>+IF(S129&gt;$B$13,VLOOKUP(P129,'$ alcantarillado'!$I$6:$N$22,5),P129)</f>
        <v>6</v>
      </c>
      <c r="U129" s="113">
        <f>IF(O129&gt;0,VLOOKUP(T129,'$ alcantarillado'!$I$5:$L$22,4),"0")</f>
        <v>0.14499999999999999</v>
      </c>
      <c r="V129" s="113">
        <f t="shared" si="193"/>
        <v>2.55787641557958E-2</v>
      </c>
      <c r="W129" s="146">
        <f t="shared" si="292"/>
        <v>0.65712713474436646</v>
      </c>
      <c r="X129" s="146">
        <f t="shared" ref="X129:X132" si="326">IF(T129&gt;0,4*V129/(PI()*(U129)^2),"")</f>
        <v>1.5490080394108703</v>
      </c>
      <c r="Y129" s="113">
        <f>IF(T129&gt;0,(VLOOKUP($W129,Relaciones!$A$4:$D$108,2)),"")</f>
        <v>0.92200000000000004</v>
      </c>
      <c r="Z129" s="146">
        <f t="shared" ref="Z129:Z132" si="327">IF(T129&gt;0,Y129*X129,"")</f>
        <v>1.4281854123368225</v>
      </c>
      <c r="AA129" s="146">
        <f t="shared" ref="AA129:AA132" si="328">IF(T129&gt;0,250*U129*J129,"")</f>
        <v>0.72499999999999998</v>
      </c>
      <c r="AB129" s="147" t="str">
        <f t="shared" ref="AB129:AB132" si="329">IF(T129&gt;0,IF(W129&lt;=$B$13,"OK","No Cumple"),"")</f>
        <v>OK</v>
      </c>
      <c r="AC129" s="147" t="str">
        <f t="shared" ref="AC129:AC132" si="330">IF(T129&gt;0,IF(Z129&gt;=$B$12,"OK","No Cumple"),"")</f>
        <v>OK</v>
      </c>
      <c r="AD129" s="147" t="str">
        <f t="shared" ref="AD129:AD132" si="331">IF(T129&gt;0,IF(AA129&gt;$B$14,"OK","No Cumple"),"")</f>
        <v>OK</v>
      </c>
      <c r="AE129" s="148">
        <f t="shared" ref="AE129:AG132" si="332">+IF(AB129="OK",1,0)</f>
        <v>1</v>
      </c>
      <c r="AF129" s="148">
        <f t="shared" si="332"/>
        <v>1</v>
      </c>
      <c r="AG129" s="148">
        <f t="shared" si="332"/>
        <v>1</v>
      </c>
      <c r="AH129" s="148">
        <f t="shared" ref="AH129:AH132" si="333">SUM(AE129:AG129)</f>
        <v>3</v>
      </c>
      <c r="AI129" s="147">
        <f t="shared" ref="AI129:AI132" si="334">IF(AH129=3,2*$B$7+U129,0)</f>
        <v>0.64500000000000002</v>
      </c>
      <c r="AJ129" s="149">
        <f>IF(AI129&gt;0,I129*VLOOKUP(T129,'$ alcantarillado'!$I$6:$K$22,3),0)</f>
        <v>1792662.5</v>
      </c>
      <c r="AK129" s="149">
        <f t="shared" si="306"/>
        <v>4423410.0000000037</v>
      </c>
      <c r="AL129" s="149">
        <f t="shared" si="307"/>
        <v>2247498.8200000022</v>
      </c>
      <c r="AM129" s="149">
        <f t="shared" si="320"/>
        <v>8463571.3200000059</v>
      </c>
      <c r="AN129" s="164">
        <f>+AP103</f>
        <v>39618801.926333368</v>
      </c>
      <c r="AO129" s="150">
        <f t="shared" ref="AO129:AO132" si="335">IF((AM129)&gt;0,IF(AN129&gt;0,AM129+AN129,""),"")</f>
        <v>48082373.246333376</v>
      </c>
      <c r="AP129" s="218"/>
      <c r="AQ129" s="142">
        <v>1</v>
      </c>
      <c r="AR129" s="165">
        <v>2</v>
      </c>
    </row>
    <row r="130" spans="1:44" x14ac:dyDescent="0.25">
      <c r="A130" s="230"/>
      <c r="B130" s="230"/>
      <c r="C130" s="230"/>
      <c r="D130" s="230"/>
      <c r="E130" s="151">
        <v>3</v>
      </c>
      <c r="F130" s="142">
        <f>+H108</f>
        <v>45.89</v>
      </c>
      <c r="G130" s="151">
        <v>2</v>
      </c>
      <c r="H130" s="146">
        <f t="shared" ref="H130:H131" si="336">+H129</f>
        <v>44.515000000000001</v>
      </c>
      <c r="I130" s="142">
        <f t="shared" ref="I130:I131" si="337">+I129</f>
        <v>75</v>
      </c>
      <c r="J130" s="143">
        <f t="shared" si="308"/>
        <v>1.8333333333333333E-2</v>
      </c>
      <c r="K130" s="142">
        <f t="shared" ref="K130:K131" si="338">+K129</f>
        <v>1460</v>
      </c>
      <c r="L130" s="128">
        <f t="shared" si="309"/>
        <v>16.808499999999999</v>
      </c>
      <c r="M130" s="144">
        <f t="shared" si="325"/>
        <v>1.6808499999999997E-2</v>
      </c>
      <c r="N130" s="144">
        <f t="shared" si="189"/>
        <v>0.1259133801470671</v>
      </c>
      <c r="O130" s="144">
        <f t="shared" si="190"/>
        <v>4.9572196908294135</v>
      </c>
      <c r="P130" s="145">
        <f t="shared" si="195"/>
        <v>6</v>
      </c>
      <c r="Q130" s="113">
        <f>IF(O130&gt;0,VLOOKUP(P130,'$ alcantarillado'!$I$5:$L$22,4,FALSE),"0")</f>
        <v>0.14499999999999999</v>
      </c>
      <c r="R130" s="113">
        <f t="shared" si="191"/>
        <v>2.4489802185665068E-2</v>
      </c>
      <c r="S130" s="146">
        <f t="shared" si="192"/>
        <v>0.68634690768709983</v>
      </c>
      <c r="T130" s="145">
        <f>+IF(S130&gt;$B$13,VLOOKUP(P130,'$ alcantarillado'!$I$6:$N$22,5),P130)</f>
        <v>6</v>
      </c>
      <c r="U130" s="113">
        <f>IF(O130&gt;0,VLOOKUP(T130,'$ alcantarillado'!$I$5:$L$22,4),"0")</f>
        <v>0.14499999999999999</v>
      </c>
      <c r="V130" s="113">
        <f t="shared" si="193"/>
        <v>2.4489802185665068E-2</v>
      </c>
      <c r="W130" s="146">
        <f t="shared" si="292"/>
        <v>0.68634690768709983</v>
      </c>
      <c r="X130" s="146">
        <f t="shared" si="326"/>
        <v>1.4830622870644654</v>
      </c>
      <c r="Y130" s="113">
        <f>IF(T130&gt;0,(VLOOKUP($W130,Relaciones!$A$4:$D$108,2)),"")</f>
        <v>0.93600000000000005</v>
      </c>
      <c r="Z130" s="146">
        <f t="shared" si="327"/>
        <v>1.3881463006923398</v>
      </c>
      <c r="AA130" s="146">
        <f t="shared" si="328"/>
        <v>0.6645833333333333</v>
      </c>
      <c r="AB130" s="147" t="str">
        <f t="shared" si="329"/>
        <v>OK</v>
      </c>
      <c r="AC130" s="147" t="str">
        <f t="shared" si="330"/>
        <v>OK</v>
      </c>
      <c r="AD130" s="147" t="str">
        <f t="shared" si="331"/>
        <v>OK</v>
      </c>
      <c r="AE130" s="148">
        <f t="shared" si="332"/>
        <v>1</v>
      </c>
      <c r="AF130" s="148">
        <f t="shared" si="332"/>
        <v>1</v>
      </c>
      <c r="AG130" s="148">
        <f t="shared" si="332"/>
        <v>1</v>
      </c>
      <c r="AH130" s="148">
        <f t="shared" si="333"/>
        <v>3</v>
      </c>
      <c r="AI130" s="147">
        <f t="shared" si="334"/>
        <v>0.64500000000000002</v>
      </c>
      <c r="AJ130" s="149">
        <f>IF(AI130&gt;0,I130*VLOOKUP(T130,'$ alcantarillado'!$I$6:$K$22,3),0)</f>
        <v>1792662.5</v>
      </c>
      <c r="AK130" s="149">
        <f t="shared" si="306"/>
        <v>4532253.7500000037</v>
      </c>
      <c r="AL130" s="149">
        <f t="shared" si="307"/>
        <v>2334746.4450000022</v>
      </c>
      <c r="AM130" s="149">
        <f t="shared" si="320"/>
        <v>8659662.6950000059</v>
      </c>
      <c r="AN130" s="164">
        <f>+AP108</f>
        <v>39680181.926333368</v>
      </c>
      <c r="AO130" s="150">
        <f t="shared" si="335"/>
        <v>48339844.621333376</v>
      </c>
      <c r="AP130" s="219"/>
      <c r="AQ130" s="142"/>
      <c r="AR130" s="165"/>
    </row>
    <row r="131" spans="1:44" x14ac:dyDescent="0.25">
      <c r="A131" s="230"/>
      <c r="B131" s="230"/>
      <c r="C131" s="230"/>
      <c r="D131" s="230"/>
      <c r="E131" s="151">
        <v>4</v>
      </c>
      <c r="F131" s="142">
        <f>+H113</f>
        <v>45.765000000000001</v>
      </c>
      <c r="G131" s="151">
        <v>2</v>
      </c>
      <c r="H131" s="146">
        <f t="shared" si="336"/>
        <v>44.515000000000001</v>
      </c>
      <c r="I131" s="142">
        <f t="shared" si="337"/>
        <v>75</v>
      </c>
      <c r="J131" s="143">
        <f>+(F131-H131)/I131</f>
        <v>1.6666666666666666E-2</v>
      </c>
      <c r="K131" s="142">
        <f t="shared" si="338"/>
        <v>1460</v>
      </c>
      <c r="L131" s="128">
        <f t="shared" si="309"/>
        <v>16.808499999999999</v>
      </c>
      <c r="M131" s="144">
        <f t="shared" si="325"/>
        <v>1.6808499999999997E-2</v>
      </c>
      <c r="N131" s="144">
        <f t="shared" si="189"/>
        <v>0.12818376137295873</v>
      </c>
      <c r="O131" s="144">
        <f t="shared" si="190"/>
        <v>5.0466047784629424</v>
      </c>
      <c r="P131" s="145">
        <f t="shared" si="195"/>
        <v>6</v>
      </c>
      <c r="Q131" s="113">
        <f>IF(O131&gt;0,VLOOKUP(P131,'$ alcantarillado'!$I$5:$L$22,4,FALSE),"0")</f>
        <v>0.14499999999999999</v>
      </c>
      <c r="R131" s="113">
        <f t="shared" si="191"/>
        <v>2.335011020205658E-2</v>
      </c>
      <c r="S131" s="146">
        <f t="shared" si="192"/>
        <v>0.71984670969645248</v>
      </c>
      <c r="T131" s="145">
        <f>+IF(S131&gt;$B$13,VLOOKUP(P131,'$ alcantarillado'!$I$6:$N$22,5),P131)</f>
        <v>6</v>
      </c>
      <c r="U131" s="113">
        <f>IF(O131&gt;0,VLOOKUP(T131,'$ alcantarillado'!$I$5:$L$22,4),"0")</f>
        <v>0.14499999999999999</v>
      </c>
      <c r="V131" s="113">
        <f t="shared" si="193"/>
        <v>2.335011020205658E-2</v>
      </c>
      <c r="W131" s="146">
        <f t="shared" si="292"/>
        <v>0.71984670969645248</v>
      </c>
      <c r="X131" s="146">
        <f t="shared" si="326"/>
        <v>1.4140444082369752</v>
      </c>
      <c r="Y131" s="113">
        <f>IF(T131&gt;0,(VLOOKUP($W131,Relaciones!$A$4:$D$108,2)),"")</f>
        <v>0.95099999999999996</v>
      </c>
      <c r="Z131" s="146">
        <f t="shared" si="327"/>
        <v>1.3447562322333633</v>
      </c>
      <c r="AA131" s="146">
        <f t="shared" si="328"/>
        <v>0.60416666666666663</v>
      </c>
      <c r="AB131" s="147" t="str">
        <f t="shared" si="329"/>
        <v>OK</v>
      </c>
      <c r="AC131" s="147" t="str">
        <f t="shared" si="330"/>
        <v>OK</v>
      </c>
      <c r="AD131" s="147" t="str">
        <f t="shared" si="331"/>
        <v>OK</v>
      </c>
      <c r="AE131" s="148">
        <f t="shared" si="332"/>
        <v>1</v>
      </c>
      <c r="AF131" s="148">
        <f t="shared" si="332"/>
        <v>1</v>
      </c>
      <c r="AG131" s="148">
        <f t="shared" si="332"/>
        <v>1</v>
      </c>
      <c r="AH131" s="148">
        <f t="shared" si="333"/>
        <v>3</v>
      </c>
      <c r="AI131" s="147">
        <f t="shared" si="334"/>
        <v>0.64500000000000002</v>
      </c>
      <c r="AJ131" s="149">
        <f>IF(AI131&gt;0,I131*VLOOKUP(T131,'$ alcantarillado'!$I$6:$K$22,3),0)</f>
        <v>1792662.5</v>
      </c>
      <c r="AK131" s="149">
        <f t="shared" si="306"/>
        <v>4641097.5000000037</v>
      </c>
      <c r="AL131" s="149">
        <f t="shared" si="307"/>
        <v>2421994.0700000022</v>
      </c>
      <c r="AM131" s="149">
        <f t="shared" si="320"/>
        <v>8855754.0700000059</v>
      </c>
      <c r="AN131" s="164">
        <f>+AP113</f>
        <v>38688115.45600003</v>
      </c>
      <c r="AO131" s="150">
        <f t="shared" si="335"/>
        <v>47543869.526000038</v>
      </c>
      <c r="AP131" s="219"/>
      <c r="AQ131" s="142"/>
      <c r="AR131" s="165"/>
    </row>
    <row r="132" spans="1:44" ht="15.75" thickBot="1" x14ac:dyDescent="0.3">
      <c r="A132" s="230"/>
      <c r="B132" s="230"/>
      <c r="C132" s="230"/>
      <c r="D132" s="230"/>
      <c r="E132" s="152">
        <v>5</v>
      </c>
      <c r="F132" s="153">
        <f>+H118</f>
        <v>45.64</v>
      </c>
      <c r="G132" s="152">
        <v>2</v>
      </c>
      <c r="H132" s="169">
        <f>+H131</f>
        <v>44.515000000000001</v>
      </c>
      <c r="I132" s="154">
        <f>+I131</f>
        <v>75</v>
      </c>
      <c r="J132" s="155">
        <f t="shared" si="308"/>
        <v>1.4999999999999999E-2</v>
      </c>
      <c r="K132" s="154">
        <f>+K131</f>
        <v>1460</v>
      </c>
      <c r="L132" s="153">
        <f t="shared" si="309"/>
        <v>16.808499999999999</v>
      </c>
      <c r="M132" s="156">
        <f t="shared" si="325"/>
        <v>1.6808499999999997E-2</v>
      </c>
      <c r="N132" s="156">
        <f t="shared" si="189"/>
        <v>0.13074122224264353</v>
      </c>
      <c r="O132" s="156">
        <f t="shared" si="190"/>
        <v>5.1472922142773045</v>
      </c>
      <c r="P132" s="157">
        <f t="shared" si="195"/>
        <v>6</v>
      </c>
      <c r="Q132" s="113">
        <f>IF(O132&gt;0,VLOOKUP(P132,'$ alcantarillado'!$I$5:$L$22,4,FALSE),"0")</f>
        <v>0.14499999999999999</v>
      </c>
      <c r="R132" s="160">
        <f t="shared" si="191"/>
        <v>2.2151859556329985E-2</v>
      </c>
      <c r="S132" s="146">
        <f t="shared" si="192"/>
        <v>0.7587850562729348</v>
      </c>
      <c r="T132" s="145">
        <f>+IF(S132&gt;$B$13,VLOOKUP(P132,'$ alcantarillado'!$I$6:$N$22,5),P132)</f>
        <v>6</v>
      </c>
      <c r="U132" s="113">
        <f>IF(O132&gt;0,VLOOKUP(T132,'$ alcantarillado'!$I$5:$L$22,4),"0")</f>
        <v>0.14499999999999999</v>
      </c>
      <c r="V132" s="113">
        <f t="shared" si="193"/>
        <v>2.2151859556329985E-2</v>
      </c>
      <c r="W132" s="146">
        <f t="shared" si="292"/>
        <v>0.7587850562729348</v>
      </c>
      <c r="X132" s="146">
        <f t="shared" si="326"/>
        <v>1.3414803127961406</v>
      </c>
      <c r="Y132" s="113">
        <f>IF(T132&gt;0,(VLOOKUP($W132,Relaciones!$A$4:$D$108,2)),"")</f>
        <v>0.96499999999999997</v>
      </c>
      <c r="Z132" s="146">
        <f t="shared" si="327"/>
        <v>1.2945285018482755</v>
      </c>
      <c r="AA132" s="146">
        <f t="shared" si="328"/>
        <v>0.54374999999999996</v>
      </c>
      <c r="AB132" s="147" t="str">
        <f t="shared" si="329"/>
        <v>OK</v>
      </c>
      <c r="AC132" s="147" t="str">
        <f t="shared" si="330"/>
        <v>OK</v>
      </c>
      <c r="AD132" s="147" t="str">
        <f t="shared" si="331"/>
        <v>OK</v>
      </c>
      <c r="AE132" s="148">
        <f t="shared" si="332"/>
        <v>1</v>
      </c>
      <c r="AF132" s="148">
        <f t="shared" si="332"/>
        <v>1</v>
      </c>
      <c r="AG132" s="148">
        <f t="shared" si="332"/>
        <v>1</v>
      </c>
      <c r="AH132" s="148">
        <f t="shared" si="333"/>
        <v>3</v>
      </c>
      <c r="AI132" s="147">
        <f t="shared" si="334"/>
        <v>0.64500000000000002</v>
      </c>
      <c r="AJ132" s="158">
        <f>IF(AI132&gt;0,I132*VLOOKUP(T132,'$ alcantarillado'!$I$6:$K$22,3),0)</f>
        <v>1792662.5</v>
      </c>
      <c r="AK132" s="149">
        <f t="shared" si="306"/>
        <v>4749941.2500000037</v>
      </c>
      <c r="AL132" s="149">
        <f t="shared" si="307"/>
        <v>2509241.6950000022</v>
      </c>
      <c r="AM132" s="158">
        <f t="shared" si="320"/>
        <v>9051845.4450000059</v>
      </c>
      <c r="AN132" s="167">
        <f>+AP118</f>
        <v>38746165.45600003</v>
      </c>
      <c r="AO132" s="159">
        <f t="shared" si="335"/>
        <v>47798010.901000038</v>
      </c>
      <c r="AP132" s="220"/>
      <c r="AQ132" s="154"/>
      <c r="AR132" s="166"/>
    </row>
    <row r="133" spans="1:44" x14ac:dyDescent="0.25">
      <c r="A133" s="230"/>
      <c r="B133" s="230"/>
      <c r="C133" s="230"/>
      <c r="D133" s="230"/>
      <c r="E133" s="127">
        <v>1</v>
      </c>
      <c r="F133" s="129">
        <f>+H98</f>
        <v>46.14</v>
      </c>
      <c r="G133" s="127">
        <v>3</v>
      </c>
      <c r="H133" s="129">
        <f>+'LOGIKA AN-1'!H147</f>
        <v>44.39</v>
      </c>
      <c r="I133" s="129">
        <f t="shared" ref="I133" si="339">+I132</f>
        <v>75</v>
      </c>
      <c r="J133" s="143">
        <f>+(F133-H133)/I133</f>
        <v>2.3333333333333334E-2</v>
      </c>
      <c r="K133" s="129">
        <f t="shared" ref="K133" si="340">+K132</f>
        <v>1460</v>
      </c>
      <c r="L133" s="132">
        <f>IF(K133&lt;38,K133^0.3686*0.7401,IF(K133&lt;235,K133^0.4193*0.6215,IF(K133&lt;932,K133*0.0092+4.2493,K133*0.0069+6.7345)))</f>
        <v>16.808499999999999</v>
      </c>
      <c r="M133" s="133">
        <f>+L133/1000</f>
        <v>1.6808499999999997E-2</v>
      </c>
      <c r="N133" s="133">
        <f t="shared" si="189"/>
        <v>0.12034664968443175</v>
      </c>
      <c r="O133" s="133">
        <f t="shared" si="190"/>
        <v>4.7380570741902268</v>
      </c>
      <c r="P133" s="134">
        <f t="shared" si="195"/>
        <v>6</v>
      </c>
      <c r="Q133" s="135">
        <f>IF(O133&gt;0,VLOOKUP(P133,'$ alcantarillado'!$I$5:$L$22,4,FALSE),"0")</f>
        <v>0.14499999999999999</v>
      </c>
      <c r="R133" s="135">
        <f t="shared" si="191"/>
        <v>2.7628222979907004E-2</v>
      </c>
      <c r="S133" s="136">
        <f t="shared" si="192"/>
        <v>0.6083815094522802</v>
      </c>
      <c r="T133" s="134">
        <f>+IF(S133&gt;$B$13,VLOOKUP(P133,'$ alcantarillado'!$I$6:$N$22,5),P133)</f>
        <v>6</v>
      </c>
      <c r="U133" s="135">
        <f>IF(O133&gt;0,VLOOKUP(T133,'$ alcantarillado'!$I$5:$L$22,4),"0")</f>
        <v>0.14499999999999999</v>
      </c>
      <c r="V133" s="135">
        <f t="shared" si="193"/>
        <v>2.7628222979907004E-2</v>
      </c>
      <c r="W133" s="136">
        <f t="shared" si="292"/>
        <v>0.6083815094522802</v>
      </c>
      <c r="X133" s="136">
        <f>IF(T133&gt;0,4*V133/(PI()*(U133)^2),"")</f>
        <v>1.6731199071951657</v>
      </c>
      <c r="Y133" s="135">
        <f>IF(T133&gt;0,(VLOOKUP($W133,Relaciones!$A$4:$D$108,2)),"")</f>
        <v>0.9</v>
      </c>
      <c r="Z133" s="136">
        <f>IF(T133&gt;0,Y133*X133,"")</f>
        <v>1.505807916475649</v>
      </c>
      <c r="AA133" s="136">
        <f>IF(T133&gt;0,250*U133*J133,"")</f>
        <v>0.84583333333333333</v>
      </c>
      <c r="AB133" s="137" t="str">
        <f>IF(T133&gt;0,IF(W133&lt;=$B$13,"OK","No Cumple"),"")</f>
        <v>OK</v>
      </c>
      <c r="AC133" s="137" t="str">
        <f>IF(T133&gt;0,IF(Z133&gt;=$B$12,"OK","No Cumple"),"")</f>
        <v>OK</v>
      </c>
      <c r="AD133" s="137" t="str">
        <f>IF(T133&gt;0,IF(AA133&gt;$B$14,"OK","No Cumple"),"")</f>
        <v>OK</v>
      </c>
      <c r="AE133" s="138">
        <f>+IF(AB133="OK",1,0)</f>
        <v>1</v>
      </c>
      <c r="AF133" s="138">
        <f>+IF(AC133="OK",1,0)</f>
        <v>1</v>
      </c>
      <c r="AG133" s="138">
        <f>+IF(AD133="OK",1,0)</f>
        <v>1</v>
      </c>
      <c r="AH133" s="138">
        <f>SUM(AE133:AG133)</f>
        <v>3</v>
      </c>
      <c r="AI133" s="137">
        <f>IF(AH133=3,2*$B$7+U133,0)</f>
        <v>0.64500000000000002</v>
      </c>
      <c r="AJ133" s="139">
        <f>IF(AI133&gt;0,I133*VLOOKUP(T133,'$ alcantarillado'!$I$6:$K$22,3),0)</f>
        <v>1792662.5</v>
      </c>
      <c r="AK133" s="139">
        <f t="shared" si="306"/>
        <v>4368988.1250000037</v>
      </c>
      <c r="AL133" s="139">
        <f t="shared" si="307"/>
        <v>2160251.1950000022</v>
      </c>
      <c r="AM133" s="139">
        <f>IF(AJ133&gt;0,AJ133+AK133+AL133,0)</f>
        <v>8321901.8200000059</v>
      </c>
      <c r="AN133" s="162">
        <f>IF(AP98&gt;0,+AP98,0)</f>
        <v>39557421.926333368</v>
      </c>
      <c r="AO133" s="140">
        <f>IF((AM133)&gt;0,IF(AN133&gt;0,AM133+AN133,""),"")</f>
        <v>47879323.746333376</v>
      </c>
      <c r="AP133" s="217">
        <f t="shared" ref="AP133" si="341">+MIN(AO133:AO137)</f>
        <v>47598291.401000038</v>
      </c>
      <c r="AQ133" s="129"/>
      <c r="AR133" s="163"/>
    </row>
    <row r="134" spans="1:44" x14ac:dyDescent="0.25">
      <c r="A134" s="230"/>
      <c r="B134" s="230"/>
      <c r="C134" s="230"/>
      <c r="D134" s="230"/>
      <c r="E134" s="141">
        <v>2</v>
      </c>
      <c r="F134" s="142">
        <f>+H103</f>
        <v>46.015000000000001</v>
      </c>
      <c r="G134" s="141">
        <v>3</v>
      </c>
      <c r="H134" s="142">
        <f>+H133</f>
        <v>44.39</v>
      </c>
      <c r="I134" s="142">
        <f>+I133</f>
        <v>75</v>
      </c>
      <c r="J134" s="143">
        <f t="shared" si="308"/>
        <v>2.1666666666666667E-2</v>
      </c>
      <c r="K134" s="142">
        <f>+K133</f>
        <v>1460</v>
      </c>
      <c r="L134" s="128">
        <f t="shared" si="309"/>
        <v>16.808499999999999</v>
      </c>
      <c r="M134" s="144">
        <f t="shared" ref="M134:M137" si="342">+L134/1000</f>
        <v>1.6808499999999997E-2</v>
      </c>
      <c r="N134" s="144">
        <f t="shared" si="189"/>
        <v>0.12203056797467006</v>
      </c>
      <c r="O134" s="144">
        <f t="shared" si="190"/>
        <v>4.8043530698688999</v>
      </c>
      <c r="P134" s="145">
        <f t="shared" si="195"/>
        <v>6</v>
      </c>
      <c r="Q134" s="113">
        <f>IF(O134&gt;0,VLOOKUP(P134,'$ alcantarillado'!$I$5:$L$22,4,FALSE),"0")</f>
        <v>0.14499999999999999</v>
      </c>
      <c r="R134" s="113">
        <f t="shared" si="191"/>
        <v>2.6623221825741582E-2</v>
      </c>
      <c r="S134" s="146">
        <f t="shared" si="192"/>
        <v>0.63134732941105265</v>
      </c>
      <c r="T134" s="145">
        <f>+IF(S134&gt;$B$13,VLOOKUP(P134,'$ alcantarillado'!$I$6:$N$22,5),P134)</f>
        <v>6</v>
      </c>
      <c r="U134" s="113">
        <f>IF(O134&gt;0,VLOOKUP(T134,'$ alcantarillado'!$I$5:$L$22,4),"0")</f>
        <v>0.14499999999999999</v>
      </c>
      <c r="V134" s="113">
        <f t="shared" si="193"/>
        <v>2.6623221825741582E-2</v>
      </c>
      <c r="W134" s="146">
        <f t="shared" si="292"/>
        <v>0.63134732941105265</v>
      </c>
      <c r="X134" s="146">
        <f t="shared" ref="X134:X137" si="343">IF(T134&gt;0,4*V134/(PI()*(U134)^2),"")</f>
        <v>1.6122586842706521</v>
      </c>
      <c r="Y134" s="113">
        <f>IF(T134&gt;0,(VLOOKUP($W134,Relaciones!$A$4:$D$108,2)),"")</f>
        <v>0.91300000000000003</v>
      </c>
      <c r="Z134" s="146">
        <f t="shared" ref="Z134:Z137" si="344">IF(T134&gt;0,Y134*X134,"")</f>
        <v>1.4719921787391055</v>
      </c>
      <c r="AA134" s="146">
        <f t="shared" ref="AA134:AA137" si="345">IF(T134&gt;0,250*U134*J134,"")</f>
        <v>0.78541666666666665</v>
      </c>
      <c r="AB134" s="147" t="str">
        <f t="shared" ref="AB134:AB137" si="346">IF(T134&gt;0,IF(W134&lt;=$B$13,"OK","No Cumple"),"")</f>
        <v>OK</v>
      </c>
      <c r="AC134" s="147" t="str">
        <f t="shared" ref="AC134:AC137" si="347">IF(T134&gt;0,IF(Z134&gt;=$B$12,"OK","No Cumple"),"")</f>
        <v>OK</v>
      </c>
      <c r="AD134" s="147" t="str">
        <f t="shared" ref="AD134:AD137" si="348">IF(T134&gt;0,IF(AA134&gt;$B$14,"OK","No Cumple"),"")</f>
        <v>OK</v>
      </c>
      <c r="AE134" s="148">
        <f t="shared" ref="AE134:AG137" si="349">+IF(AB134="OK",1,0)</f>
        <v>1</v>
      </c>
      <c r="AF134" s="148">
        <f t="shared" si="349"/>
        <v>1</v>
      </c>
      <c r="AG134" s="148">
        <f t="shared" si="349"/>
        <v>1</v>
      </c>
      <c r="AH134" s="148">
        <f t="shared" ref="AH134:AH137" si="350">SUM(AE134:AG134)</f>
        <v>3</v>
      </c>
      <c r="AI134" s="147">
        <f t="shared" ref="AI134:AI137" si="351">IF(AH134=3,2*$B$7+U134,0)</f>
        <v>0.64500000000000002</v>
      </c>
      <c r="AJ134" s="149">
        <f>IF(AI134&gt;0,I134*VLOOKUP(T134,'$ alcantarillado'!$I$6:$K$22,3),0)</f>
        <v>1792662.5</v>
      </c>
      <c r="AK134" s="149">
        <f t="shared" si="306"/>
        <v>4477831.8750000037</v>
      </c>
      <c r="AL134" s="149">
        <f t="shared" si="307"/>
        <v>2247498.8200000022</v>
      </c>
      <c r="AM134" s="149">
        <f t="shared" si="320"/>
        <v>8517993.1950000059</v>
      </c>
      <c r="AN134" s="164">
        <f>+AP103</f>
        <v>39618801.926333368</v>
      </c>
      <c r="AO134" s="150">
        <f t="shared" ref="AO134:AO137" si="352">IF((AM134)&gt;0,IF(AN134&gt;0,AM134+AN134,""),"")</f>
        <v>48136795.121333376</v>
      </c>
      <c r="AP134" s="218"/>
      <c r="AQ134" s="142"/>
      <c r="AR134" s="165"/>
    </row>
    <row r="135" spans="1:44" x14ac:dyDescent="0.25">
      <c r="A135" s="230"/>
      <c r="B135" s="230"/>
      <c r="C135" s="230"/>
      <c r="D135" s="230"/>
      <c r="E135" s="151">
        <v>3</v>
      </c>
      <c r="F135" s="142">
        <f>+H108</f>
        <v>45.89</v>
      </c>
      <c r="G135" s="151">
        <v>3</v>
      </c>
      <c r="H135" s="142">
        <f t="shared" ref="H135:H136" si="353">+H134</f>
        <v>44.39</v>
      </c>
      <c r="I135" s="142">
        <f t="shared" ref="I135:I136" si="354">+I134</f>
        <v>75</v>
      </c>
      <c r="J135" s="143">
        <f t="shared" si="308"/>
        <v>0.02</v>
      </c>
      <c r="K135" s="142">
        <f t="shared" ref="K135:K136" si="355">+K134</f>
        <v>1460</v>
      </c>
      <c r="L135" s="128">
        <f t="shared" si="309"/>
        <v>16.808499999999999</v>
      </c>
      <c r="M135" s="144">
        <f t="shared" si="342"/>
        <v>1.6808499999999997E-2</v>
      </c>
      <c r="N135" s="144">
        <f t="shared" si="189"/>
        <v>0.12387581578857372</v>
      </c>
      <c r="O135" s="144">
        <f t="shared" si="190"/>
        <v>4.8770006215973911</v>
      </c>
      <c r="P135" s="145">
        <f t="shared" si="195"/>
        <v>6</v>
      </c>
      <c r="Q135" s="113">
        <f>IF(O135&gt;0,VLOOKUP(P135,'$ alcantarillado'!$I$5:$L$22,4,FALSE),"0")</f>
        <v>0.14499999999999999</v>
      </c>
      <c r="R135" s="113">
        <f t="shared" si="191"/>
        <v>2.55787641557958E-2</v>
      </c>
      <c r="S135" s="146">
        <f t="shared" si="192"/>
        <v>0.65712713474436646</v>
      </c>
      <c r="T135" s="145">
        <f>+IF(S135&gt;$B$13,VLOOKUP(P135,'$ alcantarillado'!$I$6:$N$22,5),P135)</f>
        <v>6</v>
      </c>
      <c r="U135" s="113">
        <f>IF(O135&gt;0,VLOOKUP(T135,'$ alcantarillado'!$I$5:$L$22,4),"0")</f>
        <v>0.14499999999999999</v>
      </c>
      <c r="V135" s="113">
        <f t="shared" si="193"/>
        <v>2.55787641557958E-2</v>
      </c>
      <c r="W135" s="146">
        <f t="shared" si="292"/>
        <v>0.65712713474436646</v>
      </c>
      <c r="X135" s="146">
        <f t="shared" si="343"/>
        <v>1.5490080394108703</v>
      </c>
      <c r="Y135" s="113">
        <f>IF(T135&gt;0,(VLOOKUP($W135,Relaciones!$A$4:$D$108,2)),"")</f>
        <v>0.92200000000000004</v>
      </c>
      <c r="Z135" s="146">
        <f t="shared" si="344"/>
        <v>1.4281854123368225</v>
      </c>
      <c r="AA135" s="146">
        <f t="shared" si="345"/>
        <v>0.72499999999999998</v>
      </c>
      <c r="AB135" s="147" t="str">
        <f t="shared" si="346"/>
        <v>OK</v>
      </c>
      <c r="AC135" s="147" t="str">
        <f t="shared" si="347"/>
        <v>OK</v>
      </c>
      <c r="AD135" s="147" t="str">
        <f t="shared" si="348"/>
        <v>OK</v>
      </c>
      <c r="AE135" s="148">
        <f t="shared" si="349"/>
        <v>1</v>
      </c>
      <c r="AF135" s="148">
        <f t="shared" si="349"/>
        <v>1</v>
      </c>
      <c r="AG135" s="148">
        <f t="shared" si="349"/>
        <v>1</v>
      </c>
      <c r="AH135" s="148">
        <f t="shared" si="350"/>
        <v>3</v>
      </c>
      <c r="AI135" s="147">
        <f t="shared" si="351"/>
        <v>0.64500000000000002</v>
      </c>
      <c r="AJ135" s="149">
        <f>IF(AI135&gt;0,I135*VLOOKUP(T135,'$ alcantarillado'!$I$6:$K$22,3),0)</f>
        <v>1792662.5</v>
      </c>
      <c r="AK135" s="149">
        <f t="shared" si="306"/>
        <v>4586675.6250000037</v>
      </c>
      <c r="AL135" s="149">
        <f t="shared" si="307"/>
        <v>2334746.4450000022</v>
      </c>
      <c r="AM135" s="149">
        <f t="shared" si="320"/>
        <v>8714084.5700000059</v>
      </c>
      <c r="AN135" s="164">
        <f>+AP108</f>
        <v>39680181.926333368</v>
      </c>
      <c r="AO135" s="150">
        <f t="shared" si="352"/>
        <v>48394266.496333376</v>
      </c>
      <c r="AP135" s="219"/>
      <c r="AQ135" s="142"/>
      <c r="AR135" s="165"/>
    </row>
    <row r="136" spans="1:44" x14ac:dyDescent="0.25">
      <c r="A136" s="230"/>
      <c r="B136" s="230"/>
      <c r="C136" s="230"/>
      <c r="D136" s="230"/>
      <c r="E136" s="151">
        <v>4</v>
      </c>
      <c r="F136" s="142">
        <f>+H113</f>
        <v>45.765000000000001</v>
      </c>
      <c r="G136" s="151">
        <v>3</v>
      </c>
      <c r="H136" s="142">
        <f t="shared" si="353"/>
        <v>44.39</v>
      </c>
      <c r="I136" s="142">
        <f t="shared" si="354"/>
        <v>75</v>
      </c>
      <c r="J136" s="143">
        <f>+(F136-H136)/I136</f>
        <v>1.8333333333333333E-2</v>
      </c>
      <c r="K136" s="142">
        <f t="shared" si="355"/>
        <v>1460</v>
      </c>
      <c r="L136" s="128">
        <f t="shared" si="309"/>
        <v>16.808499999999999</v>
      </c>
      <c r="M136" s="144">
        <f t="shared" si="342"/>
        <v>1.6808499999999997E-2</v>
      </c>
      <c r="N136" s="144">
        <f t="shared" si="189"/>
        <v>0.1259133801470671</v>
      </c>
      <c r="O136" s="144">
        <f t="shared" si="190"/>
        <v>4.9572196908294135</v>
      </c>
      <c r="P136" s="145">
        <f t="shared" si="195"/>
        <v>6</v>
      </c>
      <c r="Q136" s="113">
        <f>IF(O136&gt;0,VLOOKUP(P136,'$ alcantarillado'!$I$5:$L$22,4,FALSE),"0")</f>
        <v>0.14499999999999999</v>
      </c>
      <c r="R136" s="113">
        <f t="shared" si="191"/>
        <v>2.4489802185665068E-2</v>
      </c>
      <c r="S136" s="146">
        <f t="shared" si="192"/>
        <v>0.68634690768709983</v>
      </c>
      <c r="T136" s="145">
        <f>+IF(S136&gt;$B$13,VLOOKUP(P136,'$ alcantarillado'!$I$6:$N$22,5),P136)</f>
        <v>6</v>
      </c>
      <c r="U136" s="113">
        <f>IF(O136&gt;0,VLOOKUP(T136,'$ alcantarillado'!$I$5:$L$22,4),"0")</f>
        <v>0.14499999999999999</v>
      </c>
      <c r="V136" s="113">
        <f t="shared" si="193"/>
        <v>2.4489802185665068E-2</v>
      </c>
      <c r="W136" s="146">
        <f t="shared" si="292"/>
        <v>0.68634690768709983</v>
      </c>
      <c r="X136" s="146">
        <f t="shared" si="343"/>
        <v>1.4830622870644654</v>
      </c>
      <c r="Y136" s="113">
        <f>IF(T136&gt;0,(VLOOKUP($W136,Relaciones!$A$4:$D$108,2)),"")</f>
        <v>0.93600000000000005</v>
      </c>
      <c r="Z136" s="146">
        <f t="shared" si="344"/>
        <v>1.3881463006923398</v>
      </c>
      <c r="AA136" s="146">
        <f t="shared" si="345"/>
        <v>0.6645833333333333</v>
      </c>
      <c r="AB136" s="147" t="str">
        <f t="shared" si="346"/>
        <v>OK</v>
      </c>
      <c r="AC136" s="147" t="str">
        <f t="shared" si="347"/>
        <v>OK</v>
      </c>
      <c r="AD136" s="147" t="str">
        <f t="shared" si="348"/>
        <v>OK</v>
      </c>
      <c r="AE136" s="148">
        <f t="shared" si="349"/>
        <v>1</v>
      </c>
      <c r="AF136" s="148">
        <f t="shared" si="349"/>
        <v>1</v>
      </c>
      <c r="AG136" s="148">
        <f t="shared" si="349"/>
        <v>1</v>
      </c>
      <c r="AH136" s="148">
        <f t="shared" si="350"/>
        <v>3</v>
      </c>
      <c r="AI136" s="147">
        <f t="shared" si="351"/>
        <v>0.64500000000000002</v>
      </c>
      <c r="AJ136" s="149">
        <f>IF(AI136&gt;0,I136*VLOOKUP(T136,'$ alcantarillado'!$I$6:$K$22,3),0)</f>
        <v>1792662.5</v>
      </c>
      <c r="AK136" s="149">
        <f t="shared" si="306"/>
        <v>4695519.3750000037</v>
      </c>
      <c r="AL136" s="149">
        <f t="shared" si="307"/>
        <v>2421994.0700000022</v>
      </c>
      <c r="AM136" s="149">
        <f t="shared" si="320"/>
        <v>8910175.9450000059</v>
      </c>
      <c r="AN136" s="164">
        <f>+AP113</f>
        <v>38688115.45600003</v>
      </c>
      <c r="AO136" s="150">
        <f t="shared" si="352"/>
        <v>47598291.401000038</v>
      </c>
      <c r="AP136" s="219"/>
      <c r="AQ136" s="142">
        <v>1</v>
      </c>
      <c r="AR136" s="165">
        <v>3</v>
      </c>
    </row>
    <row r="137" spans="1:44" ht="15.75" thickBot="1" x14ac:dyDescent="0.3">
      <c r="A137" s="230"/>
      <c r="B137" s="230"/>
      <c r="C137" s="230"/>
      <c r="D137" s="230"/>
      <c r="E137" s="152">
        <v>5</v>
      </c>
      <c r="F137" s="153">
        <f>+H118</f>
        <v>45.64</v>
      </c>
      <c r="G137" s="152">
        <v>3</v>
      </c>
      <c r="H137" s="154">
        <f>+H136</f>
        <v>44.39</v>
      </c>
      <c r="I137" s="154">
        <f>+I136</f>
        <v>75</v>
      </c>
      <c r="J137" s="155">
        <f t="shared" si="308"/>
        <v>1.6666666666666666E-2</v>
      </c>
      <c r="K137" s="154">
        <f>+K136</f>
        <v>1460</v>
      </c>
      <c r="L137" s="153">
        <f t="shared" si="309"/>
        <v>16.808499999999999</v>
      </c>
      <c r="M137" s="156">
        <f t="shared" si="342"/>
        <v>1.6808499999999997E-2</v>
      </c>
      <c r="N137" s="156">
        <f t="shared" si="189"/>
        <v>0.12818376137295873</v>
      </c>
      <c r="O137" s="156">
        <f t="shared" si="190"/>
        <v>5.0466047784629424</v>
      </c>
      <c r="P137" s="157">
        <f t="shared" si="195"/>
        <v>6</v>
      </c>
      <c r="Q137" s="113">
        <f>IF(O137&gt;0,VLOOKUP(P137,'$ alcantarillado'!$I$5:$L$22,4,FALSE),"0")</f>
        <v>0.14499999999999999</v>
      </c>
      <c r="R137" s="160">
        <f t="shared" si="191"/>
        <v>2.335011020205658E-2</v>
      </c>
      <c r="S137" s="146">
        <f t="shared" si="192"/>
        <v>0.71984670969645248</v>
      </c>
      <c r="T137" s="145">
        <f>+IF(S137&gt;$B$13,VLOOKUP(P137,'$ alcantarillado'!$I$6:$N$22,5),P137)</f>
        <v>6</v>
      </c>
      <c r="U137" s="113">
        <f>IF(O137&gt;0,VLOOKUP(T137,'$ alcantarillado'!$I$5:$L$22,4),"0")</f>
        <v>0.14499999999999999</v>
      </c>
      <c r="V137" s="113">
        <f t="shared" si="193"/>
        <v>2.335011020205658E-2</v>
      </c>
      <c r="W137" s="146">
        <f t="shared" si="292"/>
        <v>0.71984670969645248</v>
      </c>
      <c r="X137" s="146">
        <f t="shared" si="343"/>
        <v>1.4140444082369752</v>
      </c>
      <c r="Y137" s="113">
        <f>IF(T137&gt;0,(VLOOKUP($W137,Relaciones!$A$4:$D$108,2)),"")</f>
        <v>0.95099999999999996</v>
      </c>
      <c r="Z137" s="146">
        <f t="shared" si="344"/>
        <v>1.3447562322333633</v>
      </c>
      <c r="AA137" s="146">
        <f t="shared" si="345"/>
        <v>0.60416666666666663</v>
      </c>
      <c r="AB137" s="147" t="str">
        <f t="shared" si="346"/>
        <v>OK</v>
      </c>
      <c r="AC137" s="147" t="str">
        <f t="shared" si="347"/>
        <v>OK</v>
      </c>
      <c r="AD137" s="147" t="str">
        <f t="shared" si="348"/>
        <v>OK</v>
      </c>
      <c r="AE137" s="148">
        <f t="shared" si="349"/>
        <v>1</v>
      </c>
      <c r="AF137" s="148">
        <f t="shared" si="349"/>
        <v>1</v>
      </c>
      <c r="AG137" s="148">
        <f t="shared" si="349"/>
        <v>1</v>
      </c>
      <c r="AH137" s="148">
        <f t="shared" si="350"/>
        <v>3</v>
      </c>
      <c r="AI137" s="147">
        <f t="shared" si="351"/>
        <v>0.64500000000000002</v>
      </c>
      <c r="AJ137" s="158">
        <f>IF(AI137&gt;0,I137*VLOOKUP(T137,'$ alcantarillado'!$I$6:$K$22,3),0)</f>
        <v>1792662.5</v>
      </c>
      <c r="AK137" s="149">
        <f t="shared" si="306"/>
        <v>4804363.1250000037</v>
      </c>
      <c r="AL137" s="149">
        <f t="shared" si="307"/>
        <v>2509241.6950000022</v>
      </c>
      <c r="AM137" s="158">
        <f t="shared" si="320"/>
        <v>9106267.3200000059</v>
      </c>
      <c r="AN137" s="167">
        <f>+AP118</f>
        <v>38746165.45600003</v>
      </c>
      <c r="AO137" s="159">
        <f t="shared" si="352"/>
        <v>47852432.776000038</v>
      </c>
      <c r="AP137" s="220"/>
      <c r="AQ137" s="154"/>
      <c r="AR137" s="166"/>
    </row>
    <row r="138" spans="1:44" x14ac:dyDescent="0.25">
      <c r="A138" s="230"/>
      <c r="B138" s="230"/>
      <c r="C138" s="230"/>
      <c r="D138" s="230"/>
      <c r="E138" s="127">
        <v>1</v>
      </c>
      <c r="F138" s="129">
        <f>+H98</f>
        <v>46.14</v>
      </c>
      <c r="G138" s="127">
        <v>4</v>
      </c>
      <c r="H138" s="132">
        <f>+H133-$B$15</f>
        <v>44.265000000000001</v>
      </c>
      <c r="I138" s="142">
        <f>+I133</f>
        <v>75</v>
      </c>
      <c r="J138" s="143">
        <f>+(F138-H138)/I138</f>
        <v>2.5000000000000001E-2</v>
      </c>
      <c r="K138" s="142">
        <f>+K133</f>
        <v>1460</v>
      </c>
      <c r="L138" s="132">
        <f>IF(K138&lt;38,K138^0.3686*0.7401,IF(K138&lt;235,K138^0.4193*0.6215,IF(K138&lt;932,K138*0.0092+4.2493,K138*0.0069+6.7345)))</f>
        <v>16.808499999999999</v>
      </c>
      <c r="M138" s="133">
        <f>+L138/1000</f>
        <v>1.6808499999999997E-2</v>
      </c>
      <c r="N138" s="133">
        <f t="shared" si="189"/>
        <v>0.11879985214248014</v>
      </c>
      <c r="O138" s="133">
        <f t="shared" si="190"/>
        <v>4.6771595331685099</v>
      </c>
      <c r="P138" s="134">
        <f t="shared" si="195"/>
        <v>6</v>
      </c>
      <c r="Q138" s="135">
        <f>IF(O138&gt;0,VLOOKUP(P138,'$ alcantarillado'!$I$5:$L$22,4,FALSE),"0")</f>
        <v>0.14499999999999999</v>
      </c>
      <c r="R138" s="135">
        <f t="shared" si="191"/>
        <v>2.8597927716397215E-2</v>
      </c>
      <c r="S138" s="136">
        <f t="shared" si="192"/>
        <v>0.58775237725922691</v>
      </c>
      <c r="T138" s="134">
        <f>+IF(S138&gt;$B$13,VLOOKUP(P138,'$ alcantarillado'!$I$6:$N$22,5),P138)</f>
        <v>6</v>
      </c>
      <c r="U138" s="135">
        <f>IF(O138&gt;0,VLOOKUP(T138,'$ alcantarillado'!$I$5:$L$22,4),"0")</f>
        <v>0.14499999999999999</v>
      </c>
      <c r="V138" s="135">
        <f t="shared" si="193"/>
        <v>2.8597927716397215E-2</v>
      </c>
      <c r="W138" s="136">
        <f t="shared" si="292"/>
        <v>0.58775237725922691</v>
      </c>
      <c r="X138" s="136">
        <f>IF(T138&gt;0,4*V138/(PI()*(U138)^2),"")</f>
        <v>1.7318436369081895</v>
      </c>
      <c r="Y138" s="135">
        <f>IF(T138&gt;0,(VLOOKUP($W138,Relaciones!$A$4:$D$108,2)),"")</f>
        <v>0.89</v>
      </c>
      <c r="Z138" s="136">
        <f>IF(T138&gt;0,Y138*X138,"")</f>
        <v>1.5413408368482888</v>
      </c>
      <c r="AA138" s="136">
        <f>IF(T138&gt;0,250*U138*J138,"")</f>
        <v>0.90625</v>
      </c>
      <c r="AB138" s="137" t="str">
        <f>IF(T138&gt;0,IF(W138&lt;=$B$13,"OK","No Cumple"),"")</f>
        <v>OK</v>
      </c>
      <c r="AC138" s="137" t="str">
        <f>IF(T138&gt;0,IF(Z138&gt;=$B$12,"OK","No Cumple"),"")</f>
        <v>OK</v>
      </c>
      <c r="AD138" s="137" t="str">
        <f>IF(T138&gt;0,IF(AA138&gt;$B$14,"OK","No Cumple"),"")</f>
        <v>OK</v>
      </c>
      <c r="AE138" s="138">
        <f>+IF(AB138="OK",1,0)</f>
        <v>1</v>
      </c>
      <c r="AF138" s="138">
        <f>+IF(AC138="OK",1,0)</f>
        <v>1</v>
      </c>
      <c r="AG138" s="138">
        <f>+IF(AD138="OK",1,0)</f>
        <v>1</v>
      </c>
      <c r="AH138" s="138">
        <f>SUM(AE138:AG138)</f>
        <v>3</v>
      </c>
      <c r="AI138" s="137">
        <f>IF(AH138=3,2*$B$7+U138,0)</f>
        <v>0.64500000000000002</v>
      </c>
      <c r="AJ138" s="139">
        <f>IF(AI138&gt;0,I138*VLOOKUP(T138,'$ alcantarillado'!$I$6:$K$22,3),0)</f>
        <v>1792662.5</v>
      </c>
      <c r="AK138" s="139">
        <f t="shared" si="306"/>
        <v>4423410.0000000037</v>
      </c>
      <c r="AL138" s="139">
        <f t="shared" si="307"/>
        <v>2160251.1950000022</v>
      </c>
      <c r="AM138" s="139">
        <f>IF(AJ138&gt;0,AJ138+AK138+AL138,0)</f>
        <v>8376323.6950000059</v>
      </c>
      <c r="AN138" s="162">
        <f>IF(AP98&gt;0,+AP98,0)</f>
        <v>39557421.926333368</v>
      </c>
      <c r="AO138" s="140">
        <f>IF((AM138)&gt;0,IF(AN138&gt;0,AM138+AN138,""),"")</f>
        <v>47933745.621333376</v>
      </c>
      <c r="AP138" s="217">
        <f>+MIN(AO138:AO142)</f>
        <v>47652713.276000038</v>
      </c>
      <c r="AQ138" s="129"/>
      <c r="AR138" s="163"/>
    </row>
    <row r="139" spans="1:44" x14ac:dyDescent="0.25">
      <c r="A139" s="230"/>
      <c r="B139" s="230"/>
      <c r="C139" s="230"/>
      <c r="D139" s="230"/>
      <c r="E139" s="141">
        <v>2</v>
      </c>
      <c r="F139" s="142">
        <f>+H103</f>
        <v>46.015000000000001</v>
      </c>
      <c r="G139" s="141">
        <v>4</v>
      </c>
      <c r="H139" s="128">
        <f>+H138</f>
        <v>44.265000000000001</v>
      </c>
      <c r="I139" s="142">
        <f>+I138</f>
        <v>75</v>
      </c>
      <c r="J139" s="143">
        <f t="shared" si="308"/>
        <v>2.3333333333333334E-2</v>
      </c>
      <c r="K139" s="142">
        <f>+K138</f>
        <v>1460</v>
      </c>
      <c r="L139" s="128">
        <f t="shared" si="309"/>
        <v>16.808499999999999</v>
      </c>
      <c r="M139" s="144">
        <f t="shared" ref="M139:M142" si="356">+L139/1000</f>
        <v>1.6808499999999997E-2</v>
      </c>
      <c r="N139" s="144">
        <f t="shared" si="189"/>
        <v>0.12034664968443175</v>
      </c>
      <c r="O139" s="144">
        <f t="shared" si="190"/>
        <v>4.7380570741902268</v>
      </c>
      <c r="P139" s="145">
        <f t="shared" si="195"/>
        <v>6</v>
      </c>
      <c r="Q139" s="113">
        <f>IF(O139&gt;0,VLOOKUP(P139,'$ alcantarillado'!$I$5:$L$22,4,FALSE),"0")</f>
        <v>0.14499999999999999</v>
      </c>
      <c r="R139" s="113">
        <f t="shared" si="191"/>
        <v>2.7628222979907004E-2</v>
      </c>
      <c r="S139" s="146">
        <f t="shared" si="192"/>
        <v>0.6083815094522802</v>
      </c>
      <c r="T139" s="145">
        <f>+IF(S139&gt;$B$13,VLOOKUP(P139,'$ alcantarillado'!$I$6:$N$22,5),P139)</f>
        <v>6</v>
      </c>
      <c r="U139" s="113">
        <f>IF(O139&gt;0,VLOOKUP(T139,'$ alcantarillado'!$I$5:$L$22,4),"0")</f>
        <v>0.14499999999999999</v>
      </c>
      <c r="V139" s="113">
        <f t="shared" si="193"/>
        <v>2.7628222979907004E-2</v>
      </c>
      <c r="W139" s="146">
        <f t="shared" si="292"/>
        <v>0.6083815094522802</v>
      </c>
      <c r="X139" s="146">
        <f t="shared" ref="X139:X142" si="357">IF(T139&gt;0,4*V139/(PI()*(U139)^2),"")</f>
        <v>1.6731199071951657</v>
      </c>
      <c r="Y139" s="113">
        <f>IF(T139&gt;0,(VLOOKUP($W139,Relaciones!$A$4:$D$108,2)),"")</f>
        <v>0.9</v>
      </c>
      <c r="Z139" s="146">
        <f t="shared" ref="Z139:Z142" si="358">IF(T139&gt;0,Y139*X139,"")</f>
        <v>1.505807916475649</v>
      </c>
      <c r="AA139" s="146">
        <f t="shared" ref="AA139:AA142" si="359">IF(T139&gt;0,250*U139*J139,"")</f>
        <v>0.84583333333333333</v>
      </c>
      <c r="AB139" s="147" t="str">
        <f t="shared" ref="AB139:AB142" si="360">IF(T139&gt;0,IF(W139&lt;=$B$13,"OK","No Cumple"),"")</f>
        <v>OK</v>
      </c>
      <c r="AC139" s="147" t="str">
        <f t="shared" ref="AC139:AC142" si="361">IF(T139&gt;0,IF(Z139&gt;=$B$12,"OK","No Cumple"),"")</f>
        <v>OK</v>
      </c>
      <c r="AD139" s="147" t="str">
        <f t="shared" ref="AD139:AD142" si="362">IF(T139&gt;0,IF(AA139&gt;$B$14,"OK","No Cumple"),"")</f>
        <v>OK</v>
      </c>
      <c r="AE139" s="148">
        <f t="shared" ref="AE139:AG142" si="363">+IF(AB139="OK",1,0)</f>
        <v>1</v>
      </c>
      <c r="AF139" s="148">
        <f t="shared" si="363"/>
        <v>1</v>
      </c>
      <c r="AG139" s="148">
        <f t="shared" si="363"/>
        <v>1</v>
      </c>
      <c r="AH139" s="148">
        <f t="shared" ref="AH139:AH142" si="364">SUM(AE139:AG139)</f>
        <v>3</v>
      </c>
      <c r="AI139" s="147">
        <f t="shared" ref="AI139:AI142" si="365">IF(AH139=3,2*$B$7+U139,0)</f>
        <v>0.64500000000000002</v>
      </c>
      <c r="AJ139" s="149">
        <f>IF(AI139&gt;0,I139*VLOOKUP(T139,'$ alcantarillado'!$I$6:$K$22,3),0)</f>
        <v>1792662.5</v>
      </c>
      <c r="AK139" s="149">
        <f t="shared" si="306"/>
        <v>4532253.7500000037</v>
      </c>
      <c r="AL139" s="149">
        <f t="shared" si="307"/>
        <v>2247498.8200000022</v>
      </c>
      <c r="AM139" s="149">
        <f t="shared" si="320"/>
        <v>8572415.0700000059</v>
      </c>
      <c r="AN139" s="164">
        <f>+AP103</f>
        <v>39618801.926333368</v>
      </c>
      <c r="AO139" s="150">
        <f t="shared" ref="AO139:AO142" si="366">IF((AM139)&gt;0,IF(AN139&gt;0,AM139+AN139,""),"")</f>
        <v>48191216.996333376</v>
      </c>
      <c r="AP139" s="218"/>
      <c r="AQ139" s="142"/>
      <c r="AR139" s="165"/>
    </row>
    <row r="140" spans="1:44" x14ac:dyDescent="0.25">
      <c r="A140" s="230"/>
      <c r="B140" s="230"/>
      <c r="C140" s="230"/>
      <c r="D140" s="230"/>
      <c r="E140" s="151">
        <v>3</v>
      </c>
      <c r="F140" s="142">
        <f>+H108</f>
        <v>45.89</v>
      </c>
      <c r="G140" s="151">
        <v>4</v>
      </c>
      <c r="H140" s="128">
        <f t="shared" ref="H140:H141" si="367">+H139</f>
        <v>44.265000000000001</v>
      </c>
      <c r="I140" s="142">
        <f t="shared" ref="I140:I141" si="368">+I139</f>
        <v>75</v>
      </c>
      <c r="J140" s="143">
        <f t="shared" si="308"/>
        <v>2.1666666666666667E-2</v>
      </c>
      <c r="K140" s="142">
        <f t="shared" ref="K140:K141" si="369">+K139</f>
        <v>1460</v>
      </c>
      <c r="L140" s="128">
        <f t="shared" si="309"/>
        <v>16.808499999999999</v>
      </c>
      <c r="M140" s="144">
        <f t="shared" si="356"/>
        <v>1.6808499999999997E-2</v>
      </c>
      <c r="N140" s="144">
        <f t="shared" si="189"/>
        <v>0.12203056797467006</v>
      </c>
      <c r="O140" s="144">
        <f t="shared" si="190"/>
        <v>4.8043530698688999</v>
      </c>
      <c r="P140" s="145">
        <f t="shared" si="195"/>
        <v>6</v>
      </c>
      <c r="Q140" s="113">
        <f>IF(O140&gt;0,VLOOKUP(P140,'$ alcantarillado'!$I$5:$L$22,4,FALSE),"0")</f>
        <v>0.14499999999999999</v>
      </c>
      <c r="R140" s="113">
        <f t="shared" si="191"/>
        <v>2.6623221825741582E-2</v>
      </c>
      <c r="S140" s="146">
        <f t="shared" si="192"/>
        <v>0.63134732941105265</v>
      </c>
      <c r="T140" s="145">
        <f>+IF(S140&gt;$B$13,VLOOKUP(P140,'$ alcantarillado'!$I$6:$N$22,5),P140)</f>
        <v>6</v>
      </c>
      <c r="U140" s="113">
        <f>IF(O140&gt;0,VLOOKUP(T140,'$ alcantarillado'!$I$5:$L$22,4),"0")</f>
        <v>0.14499999999999999</v>
      </c>
      <c r="V140" s="113">
        <f t="shared" si="193"/>
        <v>2.6623221825741582E-2</v>
      </c>
      <c r="W140" s="146">
        <f t="shared" si="292"/>
        <v>0.63134732941105265</v>
      </c>
      <c r="X140" s="146">
        <f t="shared" si="357"/>
        <v>1.6122586842706521</v>
      </c>
      <c r="Y140" s="113">
        <f>IF(T140&gt;0,(VLOOKUP($W140,Relaciones!$A$4:$D$108,2)),"")</f>
        <v>0.91300000000000003</v>
      </c>
      <c r="Z140" s="146">
        <f t="shared" si="358"/>
        <v>1.4719921787391055</v>
      </c>
      <c r="AA140" s="146">
        <f t="shared" si="359"/>
        <v>0.78541666666666665</v>
      </c>
      <c r="AB140" s="147" t="str">
        <f t="shared" si="360"/>
        <v>OK</v>
      </c>
      <c r="AC140" s="147" t="str">
        <f t="shared" si="361"/>
        <v>OK</v>
      </c>
      <c r="AD140" s="147" t="str">
        <f t="shared" si="362"/>
        <v>OK</v>
      </c>
      <c r="AE140" s="148">
        <f t="shared" si="363"/>
        <v>1</v>
      </c>
      <c r="AF140" s="148">
        <f t="shared" si="363"/>
        <v>1</v>
      </c>
      <c r="AG140" s="148">
        <f t="shared" si="363"/>
        <v>1</v>
      </c>
      <c r="AH140" s="148">
        <f t="shared" si="364"/>
        <v>3</v>
      </c>
      <c r="AI140" s="147">
        <f t="shared" si="365"/>
        <v>0.64500000000000002</v>
      </c>
      <c r="AJ140" s="149">
        <f>IF(AI140&gt;0,I140*VLOOKUP(T140,'$ alcantarillado'!$I$6:$K$22,3),0)</f>
        <v>1792662.5</v>
      </c>
      <c r="AK140" s="149">
        <f t="shared" si="306"/>
        <v>4641097.5000000037</v>
      </c>
      <c r="AL140" s="149">
        <f t="shared" si="307"/>
        <v>2334746.4450000022</v>
      </c>
      <c r="AM140" s="149">
        <f t="shared" si="320"/>
        <v>8768506.4450000059</v>
      </c>
      <c r="AN140" s="164">
        <f>+AP108</f>
        <v>39680181.926333368</v>
      </c>
      <c r="AO140" s="150">
        <f t="shared" si="366"/>
        <v>48448688.371333376</v>
      </c>
      <c r="AP140" s="219"/>
      <c r="AQ140" s="142">
        <v>4</v>
      </c>
      <c r="AR140" s="165">
        <v>4</v>
      </c>
    </row>
    <row r="141" spans="1:44" x14ac:dyDescent="0.25">
      <c r="A141" s="230"/>
      <c r="B141" s="230"/>
      <c r="C141" s="230"/>
      <c r="D141" s="230"/>
      <c r="E141" s="151">
        <v>4</v>
      </c>
      <c r="F141" s="142">
        <f>+H113</f>
        <v>45.765000000000001</v>
      </c>
      <c r="G141" s="151">
        <v>4</v>
      </c>
      <c r="H141" s="128">
        <f t="shared" si="367"/>
        <v>44.265000000000001</v>
      </c>
      <c r="I141" s="142">
        <f t="shared" si="368"/>
        <v>75</v>
      </c>
      <c r="J141" s="143">
        <f>+(F141-H141)/I141</f>
        <v>0.02</v>
      </c>
      <c r="K141" s="142">
        <f t="shared" si="369"/>
        <v>1460</v>
      </c>
      <c r="L141" s="128">
        <f t="shared" si="309"/>
        <v>16.808499999999999</v>
      </c>
      <c r="M141" s="144">
        <f t="shared" si="356"/>
        <v>1.6808499999999997E-2</v>
      </c>
      <c r="N141" s="144">
        <f t="shared" si="189"/>
        <v>0.12387581578857372</v>
      </c>
      <c r="O141" s="144">
        <f t="shared" si="190"/>
        <v>4.8770006215973911</v>
      </c>
      <c r="P141" s="145">
        <f t="shared" si="195"/>
        <v>6</v>
      </c>
      <c r="Q141" s="113">
        <f>IF(O141&gt;0,VLOOKUP(P141,'$ alcantarillado'!$I$5:$L$22,4,FALSE),"0")</f>
        <v>0.14499999999999999</v>
      </c>
      <c r="R141" s="113">
        <f t="shared" si="191"/>
        <v>2.55787641557958E-2</v>
      </c>
      <c r="S141" s="146">
        <f t="shared" si="192"/>
        <v>0.65712713474436646</v>
      </c>
      <c r="T141" s="145">
        <f>+IF(S141&gt;$B$13,VLOOKUP(P141,'$ alcantarillado'!$I$6:$N$22,5),P141)</f>
        <v>6</v>
      </c>
      <c r="U141" s="113">
        <f>IF(O141&gt;0,VLOOKUP(T141,'$ alcantarillado'!$I$5:$L$22,4),"0")</f>
        <v>0.14499999999999999</v>
      </c>
      <c r="V141" s="113">
        <f t="shared" si="193"/>
        <v>2.55787641557958E-2</v>
      </c>
      <c r="W141" s="146">
        <f t="shared" si="292"/>
        <v>0.65712713474436646</v>
      </c>
      <c r="X141" s="146">
        <f t="shared" si="357"/>
        <v>1.5490080394108703</v>
      </c>
      <c r="Y141" s="113">
        <f>IF(T141&gt;0,(VLOOKUP($W141,Relaciones!$A$4:$D$108,2)),"")</f>
        <v>0.92200000000000004</v>
      </c>
      <c r="Z141" s="146">
        <f t="shared" si="358"/>
        <v>1.4281854123368225</v>
      </c>
      <c r="AA141" s="146">
        <f t="shared" si="359"/>
        <v>0.72499999999999998</v>
      </c>
      <c r="AB141" s="147" t="str">
        <f t="shared" si="360"/>
        <v>OK</v>
      </c>
      <c r="AC141" s="147" t="str">
        <f t="shared" si="361"/>
        <v>OK</v>
      </c>
      <c r="AD141" s="147" t="str">
        <f t="shared" si="362"/>
        <v>OK</v>
      </c>
      <c r="AE141" s="148">
        <f t="shared" si="363"/>
        <v>1</v>
      </c>
      <c r="AF141" s="148">
        <f t="shared" si="363"/>
        <v>1</v>
      </c>
      <c r="AG141" s="148">
        <f t="shared" si="363"/>
        <v>1</v>
      </c>
      <c r="AH141" s="148">
        <f t="shared" si="364"/>
        <v>3</v>
      </c>
      <c r="AI141" s="147">
        <f t="shared" si="365"/>
        <v>0.64500000000000002</v>
      </c>
      <c r="AJ141" s="149">
        <f>IF(AI141&gt;0,I141*VLOOKUP(T141,'$ alcantarillado'!$I$6:$K$22,3),0)</f>
        <v>1792662.5</v>
      </c>
      <c r="AK141" s="149">
        <f t="shared" si="306"/>
        <v>4749941.2500000037</v>
      </c>
      <c r="AL141" s="149">
        <f t="shared" si="307"/>
        <v>2421994.0700000022</v>
      </c>
      <c r="AM141" s="149">
        <f t="shared" si="320"/>
        <v>8964597.8200000059</v>
      </c>
      <c r="AN141" s="164">
        <f>+AP113</f>
        <v>38688115.45600003</v>
      </c>
      <c r="AO141" s="150">
        <f t="shared" si="366"/>
        <v>47652713.276000038</v>
      </c>
      <c r="AP141" s="219"/>
      <c r="AQ141" s="142"/>
      <c r="AR141" s="165"/>
    </row>
    <row r="142" spans="1:44" ht="15.75" thickBot="1" x14ac:dyDescent="0.3">
      <c r="A142" s="230"/>
      <c r="B142" s="230"/>
      <c r="C142" s="230"/>
      <c r="D142" s="230"/>
      <c r="E142" s="152">
        <v>5</v>
      </c>
      <c r="F142" s="153">
        <f>+H118</f>
        <v>45.64</v>
      </c>
      <c r="G142" s="152">
        <v>4</v>
      </c>
      <c r="H142" s="153">
        <f>+H141</f>
        <v>44.265000000000001</v>
      </c>
      <c r="I142" s="154">
        <f>+I141</f>
        <v>75</v>
      </c>
      <c r="J142" s="155">
        <f t="shared" si="308"/>
        <v>1.8333333333333333E-2</v>
      </c>
      <c r="K142" s="154">
        <f>+K141</f>
        <v>1460</v>
      </c>
      <c r="L142" s="153">
        <f t="shared" si="309"/>
        <v>16.808499999999999</v>
      </c>
      <c r="M142" s="156">
        <f t="shared" si="356"/>
        <v>1.6808499999999997E-2</v>
      </c>
      <c r="N142" s="156">
        <f t="shared" si="189"/>
        <v>0.1259133801470671</v>
      </c>
      <c r="O142" s="156">
        <f t="shared" si="190"/>
        <v>4.9572196908294135</v>
      </c>
      <c r="P142" s="157">
        <f t="shared" si="195"/>
        <v>6</v>
      </c>
      <c r="Q142" s="113">
        <f>IF(O142&gt;0,VLOOKUP(P142,'$ alcantarillado'!$I$5:$L$22,4,FALSE),"0")</f>
        <v>0.14499999999999999</v>
      </c>
      <c r="R142" s="160">
        <f t="shared" si="191"/>
        <v>2.4489802185665068E-2</v>
      </c>
      <c r="S142" s="146">
        <f t="shared" si="192"/>
        <v>0.68634690768709983</v>
      </c>
      <c r="T142" s="145">
        <f>+IF(S142&gt;$B$13,VLOOKUP(P142,'$ alcantarillado'!$I$6:$N$22,5),P142)</f>
        <v>6</v>
      </c>
      <c r="U142" s="113">
        <f>IF(O142&gt;0,VLOOKUP(T142,'$ alcantarillado'!$I$5:$L$22,4),"0")</f>
        <v>0.14499999999999999</v>
      </c>
      <c r="V142" s="113">
        <f t="shared" si="193"/>
        <v>2.4489802185665068E-2</v>
      </c>
      <c r="W142" s="146">
        <f t="shared" si="292"/>
        <v>0.68634690768709983</v>
      </c>
      <c r="X142" s="146">
        <f t="shared" si="357"/>
        <v>1.4830622870644654</v>
      </c>
      <c r="Y142" s="113">
        <f>IF(T142&gt;0,(VLOOKUP($W142,Relaciones!$A$4:$D$108,2)),"")</f>
        <v>0.93600000000000005</v>
      </c>
      <c r="Z142" s="146">
        <f t="shared" si="358"/>
        <v>1.3881463006923398</v>
      </c>
      <c r="AA142" s="146">
        <f t="shared" si="359"/>
        <v>0.6645833333333333</v>
      </c>
      <c r="AB142" s="147" t="str">
        <f t="shared" si="360"/>
        <v>OK</v>
      </c>
      <c r="AC142" s="147" t="str">
        <f t="shared" si="361"/>
        <v>OK</v>
      </c>
      <c r="AD142" s="147" t="str">
        <f t="shared" si="362"/>
        <v>OK</v>
      </c>
      <c r="AE142" s="148">
        <f t="shared" si="363"/>
        <v>1</v>
      </c>
      <c r="AF142" s="148">
        <f t="shared" si="363"/>
        <v>1</v>
      </c>
      <c r="AG142" s="148">
        <f t="shared" si="363"/>
        <v>1</v>
      </c>
      <c r="AH142" s="148">
        <f t="shared" si="364"/>
        <v>3</v>
      </c>
      <c r="AI142" s="147">
        <f t="shared" si="365"/>
        <v>0.64500000000000002</v>
      </c>
      <c r="AJ142" s="158">
        <f>IF(AI142&gt;0,I142*VLOOKUP(T142,'$ alcantarillado'!$I$6:$K$22,3),0)</f>
        <v>1792662.5</v>
      </c>
      <c r="AK142" s="149">
        <f t="shared" si="306"/>
        <v>4858785.0000000037</v>
      </c>
      <c r="AL142" s="149">
        <f t="shared" si="307"/>
        <v>2509241.6950000022</v>
      </c>
      <c r="AM142" s="158">
        <f t="shared" si="320"/>
        <v>9160689.1950000059</v>
      </c>
      <c r="AN142" s="167">
        <f>+AP118</f>
        <v>38746165.45600003</v>
      </c>
      <c r="AO142" s="159">
        <f t="shared" si="366"/>
        <v>47906854.651000038</v>
      </c>
      <c r="AP142" s="220"/>
      <c r="AQ142" s="154"/>
      <c r="AR142" s="166"/>
    </row>
    <row r="143" spans="1:44" x14ac:dyDescent="0.25">
      <c r="A143" s="230"/>
      <c r="B143" s="230"/>
      <c r="C143" s="230"/>
      <c r="D143" s="230"/>
      <c r="E143" s="127">
        <v>1</v>
      </c>
      <c r="F143" s="129">
        <f>+H98</f>
        <v>46.14</v>
      </c>
      <c r="G143" s="127">
        <v>5</v>
      </c>
      <c r="H143" s="132">
        <f>+H133-2*$B$15</f>
        <v>44.14</v>
      </c>
      <c r="I143" s="142">
        <f>+I138</f>
        <v>75</v>
      </c>
      <c r="J143" s="143">
        <f>+(F143-H143)/I143</f>
        <v>2.6666666666666668E-2</v>
      </c>
      <c r="K143" s="142">
        <f>+K138</f>
        <v>1460</v>
      </c>
      <c r="L143" s="132">
        <f>IF(K143&lt;38,K143^0.3686*0.7401,IF(K143&lt;235,K143^0.4193*0.6215,IF(K143&lt;932,K143*0.0092+4.2493,K143*0.0069+6.7345)))</f>
        <v>16.808499999999999</v>
      </c>
      <c r="M143" s="133">
        <f>+L143/1000</f>
        <v>1.6808499999999997E-2</v>
      </c>
      <c r="N143" s="133">
        <f t="shared" si="189"/>
        <v>0.11737092153540797</v>
      </c>
      <c r="O143" s="133">
        <f t="shared" si="190"/>
        <v>4.6209024226538569</v>
      </c>
      <c r="P143" s="134">
        <f t="shared" si="195"/>
        <v>6</v>
      </c>
      <c r="Q143" s="135">
        <f>IF(O143&gt;0,VLOOKUP(P143,'$ alcantarillado'!$I$5:$L$22,4,FALSE),"0")</f>
        <v>0.14499999999999999</v>
      </c>
      <c r="R143" s="135">
        <f t="shared" si="191"/>
        <v>2.9535812741773318E-2</v>
      </c>
      <c r="S143" s="136">
        <f t="shared" si="192"/>
        <v>0.56908879220470099</v>
      </c>
      <c r="T143" s="134">
        <f>+IF(S143&gt;$B$13,VLOOKUP(P143,'$ alcantarillado'!$I$6:$N$22,5),P143)</f>
        <v>6</v>
      </c>
      <c r="U143" s="135">
        <f>IF(O143&gt;0,VLOOKUP(T143,'$ alcantarillado'!$I$5:$L$22,4),"0")</f>
        <v>0.14499999999999999</v>
      </c>
      <c r="V143" s="135">
        <f t="shared" si="193"/>
        <v>2.9535812741773318E-2</v>
      </c>
      <c r="W143" s="136">
        <f t="shared" si="292"/>
        <v>0.56908879220470099</v>
      </c>
      <c r="X143" s="136">
        <f>IF(T143&gt;0,4*V143/(PI()*(U143)^2),"")</f>
        <v>1.7886404170615211</v>
      </c>
      <c r="Y143" s="135">
        <f>IF(T143&gt;0,(VLOOKUP($W143,Relaciones!$A$4:$D$108,2)),"")</f>
        <v>0.88</v>
      </c>
      <c r="Z143" s="136">
        <f>IF(T143&gt;0,Y143*X143,"")</f>
        <v>1.5740035670141386</v>
      </c>
      <c r="AA143" s="136">
        <f>IF(T143&gt;0,250*U143*J143,"")</f>
        <v>0.96666666666666667</v>
      </c>
      <c r="AB143" s="137" t="str">
        <f>IF(T143&gt;0,IF(W143&lt;=$B$13,"OK","No Cumple"),"")</f>
        <v>OK</v>
      </c>
      <c r="AC143" s="137" t="str">
        <f>IF(T143&gt;0,IF(Z143&gt;=$B$12,"OK","No Cumple"),"")</f>
        <v>OK</v>
      </c>
      <c r="AD143" s="137" t="str">
        <f>IF(T143&gt;0,IF(AA143&gt;$B$14,"OK","No Cumple"),"")</f>
        <v>OK</v>
      </c>
      <c r="AE143" s="138">
        <f>+IF(AB143="OK",1,0)</f>
        <v>1</v>
      </c>
      <c r="AF143" s="138">
        <f>+IF(AC143="OK",1,0)</f>
        <v>1</v>
      </c>
      <c r="AG143" s="138">
        <f>+IF(AD143="OK",1,0)</f>
        <v>1</v>
      </c>
      <c r="AH143" s="138">
        <f>SUM(AE143:AG143)</f>
        <v>3</v>
      </c>
      <c r="AI143" s="137">
        <f>IF(AH143=3,2*$B$7+U143,0)</f>
        <v>0.64500000000000002</v>
      </c>
      <c r="AJ143" s="139">
        <f>IF(AI143&gt;0,I143*VLOOKUP(T143,'$ alcantarillado'!$I$6:$K$22,3),0)</f>
        <v>1792662.5</v>
      </c>
      <c r="AK143" s="139">
        <f t="shared" si="306"/>
        <v>4477831.8750000037</v>
      </c>
      <c r="AL143" s="139">
        <f t="shared" si="307"/>
        <v>2160251.1950000022</v>
      </c>
      <c r="AM143" s="139">
        <f>IF(AJ143&gt;0,AJ143+AK143+AL143,0)</f>
        <v>8430745.5700000059</v>
      </c>
      <c r="AN143" s="162">
        <f>IF(AP98&gt;0,+AP98,0)</f>
        <v>39557421.926333368</v>
      </c>
      <c r="AO143" s="140">
        <f>IF((AM143)&gt;0,IF(AN143&gt;0,AM143+AN143,""),"")</f>
        <v>47988167.496333376</v>
      </c>
      <c r="AP143" s="217">
        <f t="shared" ref="AP143" si="370">+MIN(AO143:AO147)</f>
        <v>47707135.151000038</v>
      </c>
      <c r="AQ143" s="142"/>
      <c r="AR143" s="165"/>
    </row>
    <row r="144" spans="1:44" x14ac:dyDescent="0.25">
      <c r="A144" s="230"/>
      <c r="B144" s="230"/>
      <c r="C144" s="230"/>
      <c r="D144" s="230"/>
      <c r="E144" s="141">
        <v>2</v>
      </c>
      <c r="F144" s="142">
        <f>+H103</f>
        <v>46.015000000000001</v>
      </c>
      <c r="G144" s="141">
        <v>5</v>
      </c>
      <c r="H144" s="128">
        <f>+H143</f>
        <v>44.14</v>
      </c>
      <c r="I144" s="142">
        <f>+I143</f>
        <v>75</v>
      </c>
      <c r="J144" s="143">
        <f t="shared" si="308"/>
        <v>2.5000000000000001E-2</v>
      </c>
      <c r="K144" s="142">
        <f>+K143</f>
        <v>1460</v>
      </c>
      <c r="L144" s="128">
        <f t="shared" si="309"/>
        <v>16.808499999999999</v>
      </c>
      <c r="M144" s="144">
        <f t="shared" ref="M144:M147" si="371">+L144/1000</f>
        <v>1.6808499999999997E-2</v>
      </c>
      <c r="N144" s="144">
        <f t="shared" si="189"/>
        <v>0.11879985214248014</v>
      </c>
      <c r="O144" s="144">
        <f t="shared" si="190"/>
        <v>4.6771595331685099</v>
      </c>
      <c r="P144" s="145">
        <f t="shared" si="195"/>
        <v>6</v>
      </c>
      <c r="Q144" s="113">
        <f>IF(O144&gt;0,VLOOKUP(P144,'$ alcantarillado'!$I$5:$L$22,4,FALSE),"0")</f>
        <v>0.14499999999999999</v>
      </c>
      <c r="R144" s="113">
        <f t="shared" si="191"/>
        <v>2.8597927716397215E-2</v>
      </c>
      <c r="S144" s="146">
        <f t="shared" si="192"/>
        <v>0.58775237725922691</v>
      </c>
      <c r="T144" s="145">
        <f>+IF(S144&gt;$B$13,VLOOKUP(P144,'$ alcantarillado'!$I$6:$N$22,5),P144)</f>
        <v>6</v>
      </c>
      <c r="U144" s="113">
        <f>IF(O144&gt;0,VLOOKUP(T144,'$ alcantarillado'!$I$5:$L$22,4),"0")</f>
        <v>0.14499999999999999</v>
      </c>
      <c r="V144" s="113">
        <f t="shared" si="193"/>
        <v>2.8597927716397215E-2</v>
      </c>
      <c r="W144" s="146">
        <f t="shared" si="292"/>
        <v>0.58775237725922691</v>
      </c>
      <c r="X144" s="146">
        <f t="shared" ref="X144:X147" si="372">IF(T144&gt;0,4*V144/(PI()*(U144)^2),"")</f>
        <v>1.7318436369081895</v>
      </c>
      <c r="Y144" s="113">
        <f>IF(T144&gt;0,(VLOOKUP($W144,Relaciones!$A$4:$D$108,2)),"")</f>
        <v>0.89</v>
      </c>
      <c r="Z144" s="146">
        <f t="shared" ref="Z144:Z147" si="373">IF(T144&gt;0,Y144*X144,"")</f>
        <v>1.5413408368482888</v>
      </c>
      <c r="AA144" s="146">
        <f t="shared" ref="AA144:AA147" si="374">IF(T144&gt;0,250*U144*J144,"")</f>
        <v>0.90625</v>
      </c>
      <c r="AB144" s="147" t="str">
        <f t="shared" ref="AB144:AB147" si="375">IF(T144&gt;0,IF(W144&lt;=$B$13,"OK","No Cumple"),"")</f>
        <v>OK</v>
      </c>
      <c r="AC144" s="147" t="str">
        <f t="shared" ref="AC144:AC147" si="376">IF(T144&gt;0,IF(Z144&gt;=$B$12,"OK","No Cumple"),"")</f>
        <v>OK</v>
      </c>
      <c r="AD144" s="147" t="str">
        <f t="shared" ref="AD144:AD147" si="377">IF(T144&gt;0,IF(AA144&gt;$B$14,"OK","No Cumple"),"")</f>
        <v>OK</v>
      </c>
      <c r="AE144" s="148">
        <f t="shared" ref="AE144:AG147" si="378">+IF(AB144="OK",1,0)</f>
        <v>1</v>
      </c>
      <c r="AF144" s="148">
        <f t="shared" si="378"/>
        <v>1</v>
      </c>
      <c r="AG144" s="148">
        <f t="shared" si="378"/>
        <v>1</v>
      </c>
      <c r="AH144" s="148">
        <f t="shared" ref="AH144:AH147" si="379">SUM(AE144:AG144)</f>
        <v>3</v>
      </c>
      <c r="AI144" s="147">
        <f t="shared" ref="AI144:AI147" si="380">IF(AH144=3,2*$B$7+U144,0)</f>
        <v>0.64500000000000002</v>
      </c>
      <c r="AJ144" s="149">
        <f>IF(AI144&gt;0,I144*VLOOKUP(T144,'$ alcantarillado'!$I$6:$K$22,3),0)</f>
        <v>1792662.5</v>
      </c>
      <c r="AK144" s="149">
        <f t="shared" si="306"/>
        <v>4586675.6250000037</v>
      </c>
      <c r="AL144" s="149">
        <f t="shared" si="307"/>
        <v>2247498.8200000022</v>
      </c>
      <c r="AM144" s="149">
        <f t="shared" si="320"/>
        <v>8626836.9450000059</v>
      </c>
      <c r="AN144" s="164">
        <f>+AP103</f>
        <v>39618801.926333368</v>
      </c>
      <c r="AO144" s="150">
        <f t="shared" ref="AO144:AO146" si="381">IF((AM144)&gt;0,IF(AN144&gt;0,AM144+AN144,""),"")</f>
        <v>48245638.871333376</v>
      </c>
      <c r="AP144" s="218"/>
      <c r="AQ144" s="142"/>
      <c r="AR144" s="165"/>
    </row>
    <row r="145" spans="1:44" x14ac:dyDescent="0.25">
      <c r="A145" s="230"/>
      <c r="B145" s="230"/>
      <c r="C145" s="230"/>
      <c r="D145" s="230"/>
      <c r="E145" s="151">
        <v>3</v>
      </c>
      <c r="F145" s="142">
        <f>+H108</f>
        <v>45.89</v>
      </c>
      <c r="G145" s="151">
        <v>5</v>
      </c>
      <c r="H145" s="128">
        <f t="shared" ref="H145:H146" si="382">+H144</f>
        <v>44.14</v>
      </c>
      <c r="I145" s="142">
        <f t="shared" ref="I145:I146" si="383">+I144</f>
        <v>75</v>
      </c>
      <c r="J145" s="143">
        <f t="shared" si="308"/>
        <v>2.3333333333333334E-2</v>
      </c>
      <c r="K145" s="142">
        <f t="shared" ref="K145:K146" si="384">+K144</f>
        <v>1460</v>
      </c>
      <c r="L145" s="128">
        <f t="shared" si="309"/>
        <v>16.808499999999999</v>
      </c>
      <c r="M145" s="144">
        <f t="shared" si="371"/>
        <v>1.6808499999999997E-2</v>
      </c>
      <c r="N145" s="144">
        <f t="shared" si="189"/>
        <v>0.12034664968443175</v>
      </c>
      <c r="O145" s="144">
        <f t="shared" si="190"/>
        <v>4.7380570741902268</v>
      </c>
      <c r="P145" s="145">
        <f t="shared" si="195"/>
        <v>6</v>
      </c>
      <c r="Q145" s="113">
        <f>IF(O145&gt;0,VLOOKUP(P145,'$ alcantarillado'!$I$5:$L$22,4,FALSE),"0")</f>
        <v>0.14499999999999999</v>
      </c>
      <c r="R145" s="113">
        <f t="shared" si="191"/>
        <v>2.7628222979907004E-2</v>
      </c>
      <c r="S145" s="146">
        <f t="shared" si="192"/>
        <v>0.6083815094522802</v>
      </c>
      <c r="T145" s="145">
        <f>+IF(S145&gt;$B$13,VLOOKUP(P145,'$ alcantarillado'!$I$6:$N$22,5),P145)</f>
        <v>6</v>
      </c>
      <c r="U145" s="113">
        <f>IF(O145&gt;0,VLOOKUP(T145,'$ alcantarillado'!$I$5:$L$22,4),"0")</f>
        <v>0.14499999999999999</v>
      </c>
      <c r="V145" s="113">
        <f t="shared" si="193"/>
        <v>2.7628222979907004E-2</v>
      </c>
      <c r="W145" s="146">
        <f t="shared" si="292"/>
        <v>0.6083815094522802</v>
      </c>
      <c r="X145" s="146">
        <f t="shared" si="372"/>
        <v>1.6731199071951657</v>
      </c>
      <c r="Y145" s="113">
        <f>IF(T145&gt;0,(VLOOKUP($W145,Relaciones!$A$4:$D$108,2)),"")</f>
        <v>0.9</v>
      </c>
      <c r="Z145" s="146">
        <f t="shared" si="373"/>
        <v>1.505807916475649</v>
      </c>
      <c r="AA145" s="146">
        <f t="shared" si="374"/>
        <v>0.84583333333333333</v>
      </c>
      <c r="AB145" s="147" t="str">
        <f t="shared" si="375"/>
        <v>OK</v>
      </c>
      <c r="AC145" s="147" t="str">
        <f t="shared" si="376"/>
        <v>OK</v>
      </c>
      <c r="AD145" s="147" t="str">
        <f t="shared" si="377"/>
        <v>OK</v>
      </c>
      <c r="AE145" s="148">
        <f t="shared" si="378"/>
        <v>1</v>
      </c>
      <c r="AF145" s="148">
        <f t="shared" si="378"/>
        <v>1</v>
      </c>
      <c r="AG145" s="148">
        <f t="shared" si="378"/>
        <v>1</v>
      </c>
      <c r="AH145" s="148">
        <f t="shared" si="379"/>
        <v>3</v>
      </c>
      <c r="AI145" s="147">
        <f t="shared" si="380"/>
        <v>0.64500000000000002</v>
      </c>
      <c r="AJ145" s="149">
        <f>IF(AI145&gt;0,I145*VLOOKUP(T145,'$ alcantarillado'!$I$6:$K$22,3),0)</f>
        <v>1792662.5</v>
      </c>
      <c r="AK145" s="149">
        <f t="shared" si="306"/>
        <v>4695519.3750000028</v>
      </c>
      <c r="AL145" s="149">
        <f t="shared" si="307"/>
        <v>2334746.4450000022</v>
      </c>
      <c r="AM145" s="149">
        <f t="shared" si="320"/>
        <v>8822928.320000004</v>
      </c>
      <c r="AN145" s="164">
        <f>+AP108</f>
        <v>39680181.926333368</v>
      </c>
      <c r="AO145" s="150">
        <f t="shared" si="381"/>
        <v>48503110.246333376</v>
      </c>
      <c r="AP145" s="219"/>
      <c r="AQ145" s="142">
        <v>4</v>
      </c>
      <c r="AR145" s="165">
        <v>5</v>
      </c>
    </row>
    <row r="146" spans="1:44" x14ac:dyDescent="0.25">
      <c r="A146" s="230"/>
      <c r="B146" s="230"/>
      <c r="C146" s="230"/>
      <c r="D146" s="230"/>
      <c r="E146" s="151">
        <v>4</v>
      </c>
      <c r="F146" s="142">
        <f>+H113</f>
        <v>45.765000000000001</v>
      </c>
      <c r="G146" s="151">
        <v>5</v>
      </c>
      <c r="H146" s="128">
        <f t="shared" si="382"/>
        <v>44.14</v>
      </c>
      <c r="I146" s="142">
        <f t="shared" si="383"/>
        <v>75</v>
      </c>
      <c r="J146" s="143">
        <f>+(F146-H146)/I146</f>
        <v>2.1666666666666667E-2</v>
      </c>
      <c r="K146" s="142">
        <f t="shared" si="384"/>
        <v>1460</v>
      </c>
      <c r="L146" s="128">
        <f t="shared" si="309"/>
        <v>16.808499999999999</v>
      </c>
      <c r="M146" s="144">
        <f t="shared" si="371"/>
        <v>1.6808499999999997E-2</v>
      </c>
      <c r="N146" s="144">
        <f t="shared" si="189"/>
        <v>0.12203056797467006</v>
      </c>
      <c r="O146" s="144">
        <f t="shared" si="190"/>
        <v>4.8043530698688999</v>
      </c>
      <c r="P146" s="145">
        <f t="shared" si="195"/>
        <v>6</v>
      </c>
      <c r="Q146" s="113">
        <f>IF(O146&gt;0,VLOOKUP(P146,'$ alcantarillado'!$I$5:$L$22,4,FALSE),"0")</f>
        <v>0.14499999999999999</v>
      </c>
      <c r="R146" s="113">
        <f t="shared" si="191"/>
        <v>2.6623221825741582E-2</v>
      </c>
      <c r="S146" s="146">
        <f t="shared" si="192"/>
        <v>0.63134732941105265</v>
      </c>
      <c r="T146" s="145">
        <f>+IF(S146&gt;$B$13,VLOOKUP(P146,'$ alcantarillado'!$I$6:$N$22,5),P146)</f>
        <v>6</v>
      </c>
      <c r="U146" s="113">
        <f>IF(O146&gt;0,VLOOKUP(T146,'$ alcantarillado'!$I$5:$L$22,4),"0")</f>
        <v>0.14499999999999999</v>
      </c>
      <c r="V146" s="113">
        <f t="shared" si="193"/>
        <v>2.6623221825741582E-2</v>
      </c>
      <c r="W146" s="146">
        <f t="shared" si="292"/>
        <v>0.63134732941105265</v>
      </c>
      <c r="X146" s="146">
        <f t="shared" si="372"/>
        <v>1.6122586842706521</v>
      </c>
      <c r="Y146" s="113">
        <f>IF(T146&gt;0,(VLOOKUP($W146,Relaciones!$A$4:$D$108,2)),"")</f>
        <v>0.91300000000000003</v>
      </c>
      <c r="Z146" s="146">
        <f t="shared" si="373"/>
        <v>1.4719921787391055</v>
      </c>
      <c r="AA146" s="146">
        <f t="shared" si="374"/>
        <v>0.78541666666666665</v>
      </c>
      <c r="AB146" s="147" t="str">
        <f t="shared" si="375"/>
        <v>OK</v>
      </c>
      <c r="AC146" s="147" t="str">
        <f t="shared" si="376"/>
        <v>OK</v>
      </c>
      <c r="AD146" s="147" t="str">
        <f t="shared" si="377"/>
        <v>OK</v>
      </c>
      <c r="AE146" s="148">
        <f t="shared" si="378"/>
        <v>1</v>
      </c>
      <c r="AF146" s="148">
        <f t="shared" si="378"/>
        <v>1</v>
      </c>
      <c r="AG146" s="148">
        <f t="shared" si="378"/>
        <v>1</v>
      </c>
      <c r="AH146" s="148">
        <f t="shared" si="379"/>
        <v>3</v>
      </c>
      <c r="AI146" s="147">
        <f t="shared" si="380"/>
        <v>0.64500000000000002</v>
      </c>
      <c r="AJ146" s="149">
        <f>IF(AI146&gt;0,I146*VLOOKUP(T146,'$ alcantarillado'!$I$6:$K$22,3),0)</f>
        <v>1792662.5</v>
      </c>
      <c r="AK146" s="149">
        <f t="shared" si="306"/>
        <v>4804363.1250000028</v>
      </c>
      <c r="AL146" s="149">
        <f t="shared" si="307"/>
        <v>2421994.0700000022</v>
      </c>
      <c r="AM146" s="149">
        <f t="shared" si="320"/>
        <v>9019019.695000004</v>
      </c>
      <c r="AN146" s="164">
        <f>+AP113</f>
        <v>38688115.45600003</v>
      </c>
      <c r="AO146" s="150">
        <f t="shared" si="381"/>
        <v>47707135.151000038</v>
      </c>
      <c r="AP146" s="219"/>
      <c r="AQ146" s="142"/>
      <c r="AR146" s="165"/>
    </row>
    <row r="147" spans="1:44" ht="15.75" thickBot="1" x14ac:dyDescent="0.3">
      <c r="A147" s="231"/>
      <c r="B147" s="231"/>
      <c r="C147" s="231"/>
      <c r="D147" s="231"/>
      <c r="E147" s="152">
        <v>5</v>
      </c>
      <c r="F147" s="153">
        <f>+H118</f>
        <v>45.64</v>
      </c>
      <c r="G147" s="152">
        <v>5</v>
      </c>
      <c r="H147" s="153">
        <f>+H146</f>
        <v>44.14</v>
      </c>
      <c r="I147" s="154">
        <f>+I146</f>
        <v>75</v>
      </c>
      <c r="J147" s="155">
        <f t="shared" si="308"/>
        <v>0.02</v>
      </c>
      <c r="K147" s="154">
        <f>+K146</f>
        <v>1460</v>
      </c>
      <c r="L147" s="153">
        <f t="shared" si="309"/>
        <v>16.808499999999999</v>
      </c>
      <c r="M147" s="156">
        <f t="shared" si="371"/>
        <v>1.6808499999999997E-2</v>
      </c>
      <c r="N147" s="156">
        <f t="shared" si="189"/>
        <v>0.12387581578857372</v>
      </c>
      <c r="O147" s="156">
        <f t="shared" si="190"/>
        <v>4.8770006215973911</v>
      </c>
      <c r="P147" s="157">
        <f t="shared" si="195"/>
        <v>6</v>
      </c>
      <c r="Q147" s="160">
        <f>IF(O147&gt;0,VLOOKUP(P147,'$ alcantarillado'!$I$5:$L$22,4,FALSE),"0")</f>
        <v>0.14499999999999999</v>
      </c>
      <c r="R147" s="113">
        <f t="shared" si="191"/>
        <v>2.55787641557958E-2</v>
      </c>
      <c r="S147" s="168">
        <f t="shared" si="192"/>
        <v>0.65712713474436646</v>
      </c>
      <c r="T147" s="157">
        <f>+IF(S147&gt;$B$13,VLOOKUP(P147,'$ alcantarillado'!$I$6:$N$22,5),P147)</f>
        <v>6</v>
      </c>
      <c r="U147" s="160">
        <f>IF(O147&gt;0,VLOOKUP(T147,'$ alcantarillado'!$I$5:$L$22,4),"0")</f>
        <v>0.14499999999999999</v>
      </c>
      <c r="V147" s="160">
        <f t="shared" si="193"/>
        <v>2.55787641557958E-2</v>
      </c>
      <c r="W147" s="169">
        <f t="shared" si="292"/>
        <v>0.65712713474436646</v>
      </c>
      <c r="X147" s="169">
        <f t="shared" si="372"/>
        <v>1.5490080394108703</v>
      </c>
      <c r="Y147" s="160">
        <f>IF(T147&gt;0,(VLOOKUP($W147,Relaciones!$A$4:$D$108,2)),"")</f>
        <v>0.92200000000000004</v>
      </c>
      <c r="Z147" s="169">
        <f t="shared" si="373"/>
        <v>1.4281854123368225</v>
      </c>
      <c r="AA147" s="169">
        <f t="shared" si="374"/>
        <v>0.72499999999999998</v>
      </c>
      <c r="AB147" s="170" t="str">
        <f t="shared" si="375"/>
        <v>OK</v>
      </c>
      <c r="AC147" s="170" t="str">
        <f t="shared" si="376"/>
        <v>OK</v>
      </c>
      <c r="AD147" s="170" t="str">
        <f t="shared" si="377"/>
        <v>OK</v>
      </c>
      <c r="AE147" s="171">
        <f t="shared" si="378"/>
        <v>1</v>
      </c>
      <c r="AF147" s="171">
        <f t="shared" si="378"/>
        <v>1</v>
      </c>
      <c r="AG147" s="171">
        <f t="shared" si="378"/>
        <v>1</v>
      </c>
      <c r="AH147" s="171">
        <f t="shared" si="379"/>
        <v>3</v>
      </c>
      <c r="AI147" s="170">
        <f t="shared" si="380"/>
        <v>0.64500000000000002</v>
      </c>
      <c r="AJ147" s="158">
        <f>IF(AI147&gt;0,I147*VLOOKUP(T147,'$ alcantarillado'!$I$6:$K$22,3),0)</f>
        <v>1792662.5</v>
      </c>
      <c r="AK147" s="158">
        <f t="shared" si="306"/>
        <v>4913206.8750000028</v>
      </c>
      <c r="AL147" s="158">
        <f t="shared" si="307"/>
        <v>2509241.6950000022</v>
      </c>
      <c r="AM147" s="158">
        <f t="shared" si="320"/>
        <v>9215111.070000004</v>
      </c>
      <c r="AN147" s="167">
        <f>+AP118</f>
        <v>38746165.45600003</v>
      </c>
      <c r="AO147" s="159">
        <f>IF((AM147)&gt;0,IF(AN147&gt;0,AM147+AN147,""),"")</f>
        <v>47961276.526000038</v>
      </c>
      <c r="AP147" s="220"/>
      <c r="AQ147" s="172"/>
      <c r="AR147" s="166"/>
    </row>
    <row r="148" spans="1:44" x14ac:dyDescent="0.25">
      <c r="A148" s="52"/>
      <c r="B148" s="52"/>
      <c r="C148" s="52"/>
      <c r="D148" s="53">
        <v>48.09</v>
      </c>
      <c r="R148" s="7"/>
    </row>
    <row r="149" spans="1:44" x14ac:dyDescent="0.25">
      <c r="A149" s="52"/>
      <c r="B149" s="52"/>
      <c r="C149" s="52"/>
    </row>
    <row r="150" spans="1:44" ht="15.75" thickBot="1" x14ac:dyDescent="0.3"/>
    <row r="151" spans="1:44" x14ac:dyDescent="0.25">
      <c r="A151" s="229">
        <v>6</v>
      </c>
      <c r="B151" s="229">
        <v>3</v>
      </c>
      <c r="C151" s="229">
        <v>4</v>
      </c>
      <c r="D151" s="229">
        <v>48.83</v>
      </c>
      <c r="E151" s="127">
        <v>1</v>
      </c>
      <c r="F151" s="132">
        <f>+'LOGIKA AN-1'!F151</f>
        <v>47.629999999999995</v>
      </c>
      <c r="G151" s="127">
        <v>1</v>
      </c>
      <c r="H151" s="136">
        <f>+H161+2*$B$15</f>
        <v>47.57</v>
      </c>
      <c r="I151" s="129">
        <v>80</v>
      </c>
      <c r="J151" s="130">
        <f>+(F151-H151)/I151</f>
        <v>7.4999999999993963E-4</v>
      </c>
      <c r="K151" s="138">
        <f>6*H4</f>
        <v>948</v>
      </c>
      <c r="L151" s="132">
        <f>IF(K151&lt;38,K151^0.3686*0.7401,IF(K151&lt;235,K151^0.4193*0.6215,IF(K151&lt;932,K151*0.0092+4.2493,K151*0.0069+6.7345)))</f>
        <v>13.275700000000001</v>
      </c>
      <c r="M151" s="133">
        <f>+L151/1000</f>
        <v>1.32757E-2</v>
      </c>
      <c r="N151" s="133">
        <f t="shared" ref="N151:N200" si="385">+IF(J151&gt;0,((M151*$B$2*(4^(5/3))/((J151^0.5)*PI()*$B$6))^(3/8)),0)</f>
        <v>0.20985960041682264</v>
      </c>
      <c r="O151" s="133">
        <f t="shared" ref="O151:O200" si="386">+N151*(100/2.54)</f>
        <v>8.2621889927882926</v>
      </c>
      <c r="P151" s="134">
        <f t="shared" ref="P151:P200" si="387">IF(O151&lt;0.1,0,IF(O151&lt;4,6,EVEN(O151)))</f>
        <v>10</v>
      </c>
      <c r="Q151" s="135">
        <f>IF(O151&gt;0,VLOOKUP(P151,'$ alcantarillado'!$I$5:$L$22,4,FALSE),"0")</f>
        <v>0.22700000000000001</v>
      </c>
      <c r="R151" s="135">
        <f t="shared" ref="R151:R200" si="388">IF(P151&gt;0,PI()*((Q151)^(8/3))*((J151)^0.5)/($B$2*4^(5/3)),"")</f>
        <v>1.636751715152987E-2</v>
      </c>
      <c r="S151" s="136">
        <f t="shared" ref="S151:S200" si="389">IF(P151&gt;0,+M151/R151,0)</f>
        <v>0.8111004178027772</v>
      </c>
      <c r="T151" s="134">
        <f>+IF(S151&gt;$B$13,VLOOKUP(P151,'$ alcantarillado'!$I$6:$N$22,5),P151)</f>
        <v>10</v>
      </c>
      <c r="U151" s="135">
        <f>IF(O151&gt;0,VLOOKUP(T151,'$ alcantarillado'!$I$5:$L$22,4),"0")</f>
        <v>0.22700000000000001</v>
      </c>
      <c r="V151" s="135">
        <f t="shared" ref="V151:V200" si="390">IF(T151&gt;0,PI()*((U151)^(8/3))*((J151)^0.5)/($B$2*4^(5/3)),"")</f>
        <v>1.636751715152987E-2</v>
      </c>
      <c r="W151" s="136">
        <f t="shared" ref="W151:W182" si="391">IF(T151&gt;0,M151/V151,0)</f>
        <v>0.8111004178027772</v>
      </c>
      <c r="X151" s="136">
        <f>IF(T151&gt;0,4*V151/(PI()*(U151)^2),"")</f>
        <v>0.40442799368237031</v>
      </c>
      <c r="Y151" s="135">
        <f>IF(T151&gt;0,(VLOOKUP($W151,Relaciones!$A$4:$D$108,2)),"")</f>
        <v>0.98699999999999999</v>
      </c>
      <c r="Z151" s="136">
        <f>IF(T151&gt;0,Y151*X151,"")</f>
        <v>0.39917042976449951</v>
      </c>
      <c r="AA151" s="136">
        <f>IF(T151&gt;0,250*U151*J151,"")</f>
        <v>4.2562499999996575E-2</v>
      </c>
      <c r="AB151" s="137" t="str">
        <f>IF(T151&gt;0,IF(W151&lt;=$B$13,"OK","No Cumple"),"")</f>
        <v>OK</v>
      </c>
      <c r="AC151" s="137" t="str">
        <f>IF(T151&gt;0,IF(Z151&gt;=$B$12,"OK","No Cumple"),"")</f>
        <v>No Cumple</v>
      </c>
      <c r="AD151" s="137" t="str">
        <f>IF(T151&gt;0,IF(AA151&gt;$B$14,"OK","No Cumple"),"")</f>
        <v>No Cumple</v>
      </c>
      <c r="AE151" s="138">
        <f>+IF(AB151="OK",1,0)</f>
        <v>1</v>
      </c>
      <c r="AF151" s="138">
        <f>+IF(AC151="OK",1,0)</f>
        <v>0</v>
      </c>
      <c r="AG151" s="138">
        <f>+IF(AD151="OK",1,0)</f>
        <v>0</v>
      </c>
      <c r="AH151" s="138">
        <f>SUM(AE151:AG151)</f>
        <v>1</v>
      </c>
      <c r="AI151" s="137">
        <f>IF(AH151=3,2*$B$7+U151,0)</f>
        <v>0</v>
      </c>
      <c r="AJ151" s="139">
        <f>IF(AI151&gt;0,I151*VLOOKUP(T151,'$ alcantarillado'!$I$6:$K$22,3),0)</f>
        <v>0</v>
      </c>
      <c r="AK151" s="139">
        <f t="shared" ref="AK151:AK175" si="392">IF(N151&gt;0,((($D$151-F151)+(U151))+(($D$176-H151)+(U151))/2)*AI151*I151*$C$9,0)</f>
        <v>0</v>
      </c>
      <c r="AL151" s="139">
        <f t="shared" ref="AL151:AL175" si="393">IF(AI151&gt;0,(($D$151-F151)+U151)*$C$10,0)</f>
        <v>0</v>
      </c>
      <c r="AM151" s="139">
        <f>IF(AJ151&gt;0,AJ151+AK151+AL151,0)</f>
        <v>0</v>
      </c>
      <c r="AN151" s="174">
        <v>0</v>
      </c>
      <c r="AO151" s="140" t="str">
        <f t="shared" ref="AO151:AO175" si="394">IF((AM151+AN151)&gt;0,(AM151+AN151),"")</f>
        <v/>
      </c>
      <c r="AP151" s="217">
        <f>+MIN(AO151:AO155)</f>
        <v>0</v>
      </c>
      <c r="AQ151" s="129"/>
      <c r="AR151" s="163"/>
    </row>
    <row r="152" spans="1:44" x14ac:dyDescent="0.25">
      <c r="A152" s="230"/>
      <c r="B152" s="230"/>
      <c r="C152" s="230"/>
      <c r="D152" s="230"/>
      <c r="E152" s="141">
        <v>2</v>
      </c>
      <c r="F152" s="128">
        <f>+F151-$B$4</f>
        <v>47.129999999999995</v>
      </c>
      <c r="G152" s="141">
        <v>1</v>
      </c>
      <c r="H152" s="146">
        <f>+H151</f>
        <v>47.57</v>
      </c>
      <c r="I152" s="142">
        <f>+I151</f>
        <v>80</v>
      </c>
      <c r="J152" s="143">
        <f t="shared" ref="J152:J175" si="395">+(F152-H152)/I152</f>
        <v>-5.5000000000000604E-3</v>
      </c>
      <c r="K152" s="142">
        <f>+K151</f>
        <v>948</v>
      </c>
      <c r="L152" s="128">
        <f t="shared" ref="L152:L175" si="396">IF(K152&lt;38,K152^0.3686*0.7401,IF(K152&lt;235,K152^0.4193*0.6215,IF(K152&lt;932,K152*0.0092+4.2493,K152*0.0069+6.7345)))</f>
        <v>13.275700000000001</v>
      </c>
      <c r="M152" s="144">
        <f t="shared" ref="M152:M155" si="397">+L152/1000</f>
        <v>1.32757E-2</v>
      </c>
      <c r="N152" s="144">
        <f t="shared" si="385"/>
        <v>0</v>
      </c>
      <c r="O152" s="144">
        <f t="shared" si="386"/>
        <v>0</v>
      </c>
      <c r="P152" s="145">
        <f t="shared" si="387"/>
        <v>0</v>
      </c>
      <c r="Q152" s="113" t="str">
        <f>IF(O152&gt;0,VLOOKUP(P152,'$ alcantarillado'!$I$5:$L$22,4,FALSE),"0")</f>
        <v>0</v>
      </c>
      <c r="R152" s="113" t="str">
        <f t="shared" si="388"/>
        <v/>
      </c>
      <c r="S152" s="146">
        <f t="shared" si="389"/>
        <v>0</v>
      </c>
      <c r="T152" s="145">
        <f>+IF(S152&gt;$B$13,VLOOKUP(P152,'$ alcantarillado'!$I$6:$N$22,5),P152)</f>
        <v>0</v>
      </c>
      <c r="U152" s="113" t="str">
        <f>IF(O152&gt;0,VLOOKUP(T152,'$ alcantarillado'!$I$5:$L$22,4),"0")</f>
        <v>0</v>
      </c>
      <c r="V152" s="113" t="str">
        <f t="shared" si="390"/>
        <v/>
      </c>
      <c r="W152" s="146">
        <f t="shared" si="391"/>
        <v>0</v>
      </c>
      <c r="X152" s="146" t="str">
        <f t="shared" ref="X152:X155" si="398">IF(T152&gt;0,4*V152/(PI()*(U152)^2),"")</f>
        <v/>
      </c>
      <c r="Y152" s="113" t="str">
        <f>IF(T152&gt;0,(VLOOKUP($W152,Relaciones!$A$4:$D$108,2)),"")</f>
        <v/>
      </c>
      <c r="Z152" s="146" t="str">
        <f t="shared" ref="Z152:Z155" si="399">IF(T152&gt;0,Y152*X152,"")</f>
        <v/>
      </c>
      <c r="AA152" s="146" t="str">
        <f t="shared" ref="AA152:AA155" si="400">IF(T152&gt;0,250*U152*J152,"")</f>
        <v/>
      </c>
      <c r="AB152" s="147" t="str">
        <f t="shared" ref="AB152:AB155" si="401">IF(T152&gt;0,IF(W152&lt;=$B$13,"OK","No Cumple"),"")</f>
        <v/>
      </c>
      <c r="AC152" s="147" t="str">
        <f t="shared" ref="AC152:AC155" si="402">IF(T152&gt;0,IF(Z152&gt;=$B$12,"OK","No Cumple"),"")</f>
        <v/>
      </c>
      <c r="AD152" s="147" t="str">
        <f t="shared" ref="AD152:AD155" si="403">IF(T152&gt;0,IF(AA152&gt;$B$14,"OK","No Cumple"),"")</f>
        <v/>
      </c>
      <c r="AE152" s="148">
        <f t="shared" ref="AE152:AG155" si="404">+IF(AB152="OK",1,0)</f>
        <v>0</v>
      </c>
      <c r="AF152" s="148">
        <f t="shared" si="404"/>
        <v>0</v>
      </c>
      <c r="AG152" s="148">
        <f t="shared" si="404"/>
        <v>0</v>
      </c>
      <c r="AH152" s="148">
        <f t="shared" ref="AH152:AH155" si="405">SUM(AE152:AG152)</f>
        <v>0</v>
      </c>
      <c r="AI152" s="147">
        <f t="shared" ref="AI152:AI155" si="406">IF(AH152=3,2*$B$7+U152,0)</f>
        <v>0</v>
      </c>
      <c r="AJ152" s="149">
        <f>IF(AI152&gt;0,I152*VLOOKUP(T152,'$ alcantarillado'!$I$6:$K$22,3),0)</f>
        <v>0</v>
      </c>
      <c r="AK152" s="149">
        <f t="shared" si="392"/>
        <v>0</v>
      </c>
      <c r="AL152" s="149">
        <f t="shared" si="393"/>
        <v>0</v>
      </c>
      <c r="AM152" s="149">
        <f t="shared" ref="AM152:AM175" si="407">IF(AJ152&gt;0,AJ152+AK152+AL152,0)</f>
        <v>0</v>
      </c>
      <c r="AN152" s="175">
        <v>0</v>
      </c>
      <c r="AO152" s="150" t="str">
        <f t="shared" si="394"/>
        <v/>
      </c>
      <c r="AP152" s="218"/>
      <c r="AQ152" s="142"/>
      <c r="AR152" s="165"/>
    </row>
    <row r="153" spans="1:44" x14ac:dyDescent="0.25">
      <c r="A153" s="230"/>
      <c r="B153" s="230"/>
      <c r="C153" s="230"/>
      <c r="D153" s="230"/>
      <c r="E153" s="151">
        <v>3</v>
      </c>
      <c r="F153" s="128">
        <f>+F152-$B$4</f>
        <v>46.629999999999995</v>
      </c>
      <c r="G153" s="151">
        <v>1</v>
      </c>
      <c r="H153" s="142">
        <f t="shared" ref="H153:H154" si="408">+H152</f>
        <v>47.57</v>
      </c>
      <c r="I153" s="142">
        <f t="shared" ref="I153:I154" si="409">+I152</f>
        <v>80</v>
      </c>
      <c r="J153" s="143">
        <f t="shared" si="395"/>
        <v>-1.1750000000000061E-2</v>
      </c>
      <c r="K153" s="142">
        <f t="shared" ref="K153:K154" si="410">+K152</f>
        <v>948</v>
      </c>
      <c r="L153" s="128">
        <f t="shared" si="396"/>
        <v>13.275700000000001</v>
      </c>
      <c r="M153" s="144">
        <f t="shared" si="397"/>
        <v>1.32757E-2</v>
      </c>
      <c r="N153" s="144">
        <f t="shared" si="385"/>
        <v>0</v>
      </c>
      <c r="O153" s="144">
        <f t="shared" si="386"/>
        <v>0</v>
      </c>
      <c r="P153" s="145">
        <f t="shared" si="387"/>
        <v>0</v>
      </c>
      <c r="Q153" s="113" t="str">
        <f>IF(O153&gt;0,VLOOKUP(P153,'$ alcantarillado'!$I$5:$L$22,4,FALSE),"0")</f>
        <v>0</v>
      </c>
      <c r="R153" s="113" t="str">
        <f t="shared" si="388"/>
        <v/>
      </c>
      <c r="S153" s="146">
        <f t="shared" si="389"/>
        <v>0</v>
      </c>
      <c r="T153" s="145">
        <f>+IF(S153&gt;$B$13,VLOOKUP(P153,'$ alcantarillado'!$I$6:$N$22,5),P153)</f>
        <v>0</v>
      </c>
      <c r="U153" s="113" t="str">
        <f>IF(O153&gt;0,VLOOKUP(T153,'$ alcantarillado'!$I$5:$L$22,4),"0")</f>
        <v>0</v>
      </c>
      <c r="V153" s="113" t="str">
        <f t="shared" si="390"/>
        <v/>
      </c>
      <c r="W153" s="146">
        <f t="shared" si="391"/>
        <v>0</v>
      </c>
      <c r="X153" s="146" t="str">
        <f t="shared" si="398"/>
        <v/>
      </c>
      <c r="Y153" s="113" t="str">
        <f>IF(T153&gt;0,(VLOOKUP($W153,Relaciones!$A$4:$D$108,2)),"")</f>
        <v/>
      </c>
      <c r="Z153" s="146" t="str">
        <f t="shared" si="399"/>
        <v/>
      </c>
      <c r="AA153" s="146" t="str">
        <f t="shared" si="400"/>
        <v/>
      </c>
      <c r="AB153" s="147" t="str">
        <f t="shared" si="401"/>
        <v/>
      </c>
      <c r="AC153" s="147" t="str">
        <f t="shared" si="402"/>
        <v/>
      </c>
      <c r="AD153" s="147" t="str">
        <f t="shared" si="403"/>
        <v/>
      </c>
      <c r="AE153" s="148">
        <f t="shared" si="404"/>
        <v>0</v>
      </c>
      <c r="AF153" s="148">
        <f t="shared" si="404"/>
        <v>0</v>
      </c>
      <c r="AG153" s="148">
        <f t="shared" si="404"/>
        <v>0</v>
      </c>
      <c r="AH153" s="148">
        <f t="shared" si="405"/>
        <v>0</v>
      </c>
      <c r="AI153" s="147">
        <f t="shared" si="406"/>
        <v>0</v>
      </c>
      <c r="AJ153" s="149">
        <f>IF(AI153&gt;0,I153*VLOOKUP(T153,'$ alcantarillado'!$I$6:$K$22,3),0)</f>
        <v>0</v>
      </c>
      <c r="AK153" s="149">
        <f t="shared" si="392"/>
        <v>0</v>
      </c>
      <c r="AL153" s="149">
        <f t="shared" si="393"/>
        <v>0</v>
      </c>
      <c r="AM153" s="149">
        <f t="shared" si="407"/>
        <v>0</v>
      </c>
      <c r="AN153" s="175">
        <v>0</v>
      </c>
      <c r="AO153" s="150" t="str">
        <f t="shared" si="394"/>
        <v/>
      </c>
      <c r="AP153" s="219"/>
      <c r="AQ153" s="142"/>
      <c r="AR153" s="165"/>
    </row>
    <row r="154" spans="1:44" x14ac:dyDescent="0.25">
      <c r="A154" s="230"/>
      <c r="B154" s="230"/>
      <c r="C154" s="230"/>
      <c r="D154" s="230"/>
      <c r="E154" s="151">
        <v>4</v>
      </c>
      <c r="F154" s="128">
        <f>+F153-$B$4</f>
        <v>46.129999999999995</v>
      </c>
      <c r="G154" s="151">
        <v>1</v>
      </c>
      <c r="H154" s="142">
        <f t="shared" si="408"/>
        <v>47.57</v>
      </c>
      <c r="I154" s="142">
        <f t="shared" si="409"/>
        <v>80</v>
      </c>
      <c r="J154" s="143">
        <f>+(F154-H154)/I154</f>
        <v>-1.8000000000000061E-2</v>
      </c>
      <c r="K154" s="142">
        <f t="shared" si="410"/>
        <v>948</v>
      </c>
      <c r="L154" s="128">
        <f t="shared" si="396"/>
        <v>13.275700000000001</v>
      </c>
      <c r="M154" s="144">
        <f t="shared" si="397"/>
        <v>1.32757E-2</v>
      </c>
      <c r="N154" s="144">
        <f t="shared" si="385"/>
        <v>0</v>
      </c>
      <c r="O154" s="144">
        <f t="shared" si="386"/>
        <v>0</v>
      </c>
      <c r="P154" s="145">
        <f t="shared" si="387"/>
        <v>0</v>
      </c>
      <c r="Q154" s="113" t="str">
        <f>IF(O154&gt;0,VLOOKUP(P154,'$ alcantarillado'!$I$5:$L$22,4,FALSE),"0")</f>
        <v>0</v>
      </c>
      <c r="R154" s="113" t="str">
        <f t="shared" si="388"/>
        <v/>
      </c>
      <c r="S154" s="146">
        <f t="shared" si="389"/>
        <v>0</v>
      </c>
      <c r="T154" s="145">
        <f>+IF(S154&gt;$B$13,VLOOKUP(P154,'$ alcantarillado'!$I$6:$N$22,5),P154)</f>
        <v>0</v>
      </c>
      <c r="U154" s="113" t="str">
        <f>IF(O154&gt;0,VLOOKUP(T154,'$ alcantarillado'!$I$5:$L$22,4),"0")</f>
        <v>0</v>
      </c>
      <c r="V154" s="113" t="str">
        <f t="shared" si="390"/>
        <v/>
      </c>
      <c r="W154" s="146">
        <f t="shared" si="391"/>
        <v>0</v>
      </c>
      <c r="X154" s="146" t="str">
        <f t="shared" si="398"/>
        <v/>
      </c>
      <c r="Y154" s="113" t="str">
        <f>IF(T154&gt;0,(VLOOKUP($W154,Relaciones!$A$4:$D$108,2)),"")</f>
        <v/>
      </c>
      <c r="Z154" s="146" t="str">
        <f t="shared" si="399"/>
        <v/>
      </c>
      <c r="AA154" s="146" t="str">
        <f t="shared" si="400"/>
        <v/>
      </c>
      <c r="AB154" s="147" t="str">
        <f t="shared" si="401"/>
        <v/>
      </c>
      <c r="AC154" s="147" t="str">
        <f t="shared" si="402"/>
        <v/>
      </c>
      <c r="AD154" s="147" t="str">
        <f t="shared" si="403"/>
        <v/>
      </c>
      <c r="AE154" s="148">
        <f t="shared" si="404"/>
        <v>0</v>
      </c>
      <c r="AF154" s="148">
        <f t="shared" si="404"/>
        <v>0</v>
      </c>
      <c r="AG154" s="148">
        <f t="shared" si="404"/>
        <v>0</v>
      </c>
      <c r="AH154" s="148">
        <f t="shared" si="405"/>
        <v>0</v>
      </c>
      <c r="AI154" s="147">
        <f t="shared" si="406"/>
        <v>0</v>
      </c>
      <c r="AJ154" s="149">
        <f>IF(AI154&gt;0,I154*VLOOKUP(T154,'$ alcantarillado'!$I$6:$K$22,3),0)</f>
        <v>0</v>
      </c>
      <c r="AK154" s="149">
        <f t="shared" si="392"/>
        <v>0</v>
      </c>
      <c r="AL154" s="149">
        <f t="shared" si="393"/>
        <v>0</v>
      </c>
      <c r="AM154" s="149">
        <f t="shared" si="407"/>
        <v>0</v>
      </c>
      <c r="AN154" s="175">
        <v>0</v>
      </c>
      <c r="AO154" s="150" t="str">
        <f t="shared" si="394"/>
        <v/>
      </c>
      <c r="AP154" s="219"/>
      <c r="AQ154" s="142"/>
      <c r="AR154" s="165"/>
    </row>
    <row r="155" spans="1:44" ht="15.75" thickBot="1" x14ac:dyDescent="0.3">
      <c r="A155" s="230"/>
      <c r="B155" s="230"/>
      <c r="C155" s="230"/>
      <c r="D155" s="230"/>
      <c r="E155" s="152">
        <v>5</v>
      </c>
      <c r="F155" s="153">
        <f>+F154-$B$4</f>
        <v>45.629999999999995</v>
      </c>
      <c r="G155" s="152">
        <v>1</v>
      </c>
      <c r="H155" s="154">
        <f>+H154</f>
        <v>47.57</v>
      </c>
      <c r="I155" s="154">
        <f>+I154</f>
        <v>80</v>
      </c>
      <c r="J155" s="155">
        <f t="shared" si="395"/>
        <v>-2.425000000000006E-2</v>
      </c>
      <c r="K155" s="154">
        <f>+K154</f>
        <v>948</v>
      </c>
      <c r="L155" s="153">
        <f t="shared" si="396"/>
        <v>13.275700000000001</v>
      </c>
      <c r="M155" s="156">
        <f t="shared" si="397"/>
        <v>1.32757E-2</v>
      </c>
      <c r="N155" s="156">
        <f t="shared" si="385"/>
        <v>0</v>
      </c>
      <c r="O155" s="156">
        <f t="shared" si="386"/>
        <v>0</v>
      </c>
      <c r="P155" s="157">
        <f t="shared" si="387"/>
        <v>0</v>
      </c>
      <c r="Q155" s="113" t="str">
        <f>IF(O155&gt;0,VLOOKUP(P155,'$ alcantarillado'!$I$5:$L$22,4,FALSE),"0")</f>
        <v>0</v>
      </c>
      <c r="R155" s="113" t="str">
        <f t="shared" si="388"/>
        <v/>
      </c>
      <c r="S155" s="146">
        <f t="shared" si="389"/>
        <v>0</v>
      </c>
      <c r="T155" s="145">
        <f>+IF(S155&gt;$B$13,VLOOKUP(P155,'$ alcantarillado'!$I$6:$N$22,5),P155)</f>
        <v>0</v>
      </c>
      <c r="U155" s="113" t="str">
        <f>IF(O155&gt;0,VLOOKUP(T155,'$ alcantarillado'!$I$5:$L$22,4),"0")</f>
        <v>0</v>
      </c>
      <c r="V155" s="113" t="str">
        <f t="shared" si="390"/>
        <v/>
      </c>
      <c r="W155" s="146">
        <f t="shared" si="391"/>
        <v>0</v>
      </c>
      <c r="X155" s="146" t="str">
        <f t="shared" si="398"/>
        <v/>
      </c>
      <c r="Y155" s="113" t="str">
        <f>IF(T155&gt;0,(VLOOKUP($W155,Relaciones!$A$4:$D$108,2)),"")</f>
        <v/>
      </c>
      <c r="Z155" s="146" t="str">
        <f t="shared" si="399"/>
        <v/>
      </c>
      <c r="AA155" s="146" t="str">
        <f t="shared" si="400"/>
        <v/>
      </c>
      <c r="AB155" s="147" t="str">
        <f t="shared" si="401"/>
        <v/>
      </c>
      <c r="AC155" s="147" t="str">
        <f t="shared" si="402"/>
        <v/>
      </c>
      <c r="AD155" s="147" t="str">
        <f t="shared" si="403"/>
        <v/>
      </c>
      <c r="AE155" s="148">
        <f t="shared" si="404"/>
        <v>0</v>
      </c>
      <c r="AF155" s="148">
        <f t="shared" si="404"/>
        <v>0</v>
      </c>
      <c r="AG155" s="148">
        <f t="shared" si="404"/>
        <v>0</v>
      </c>
      <c r="AH155" s="148">
        <f t="shared" si="405"/>
        <v>0</v>
      </c>
      <c r="AI155" s="147">
        <f t="shared" si="406"/>
        <v>0</v>
      </c>
      <c r="AJ155" s="158">
        <f>IF(AI155&gt;0,I155*VLOOKUP(T155,'$ alcantarillado'!$I$6:$K$22,3),0)</f>
        <v>0</v>
      </c>
      <c r="AK155" s="149">
        <f t="shared" si="392"/>
        <v>0</v>
      </c>
      <c r="AL155" s="149">
        <f t="shared" si="393"/>
        <v>0</v>
      </c>
      <c r="AM155" s="158">
        <f t="shared" si="407"/>
        <v>0</v>
      </c>
      <c r="AN155" s="175">
        <v>0</v>
      </c>
      <c r="AO155" s="159" t="str">
        <f t="shared" si="394"/>
        <v/>
      </c>
      <c r="AP155" s="220"/>
      <c r="AQ155" s="154"/>
      <c r="AR155" s="166"/>
    </row>
    <row r="156" spans="1:44" x14ac:dyDescent="0.25">
      <c r="A156" s="230"/>
      <c r="B156" s="230"/>
      <c r="C156" s="230"/>
      <c r="D156" s="230"/>
      <c r="E156" s="127">
        <v>1</v>
      </c>
      <c r="F156" s="132">
        <f>+$D$151-$B$5</f>
        <v>47.629999999999995</v>
      </c>
      <c r="G156" s="127">
        <v>2</v>
      </c>
      <c r="H156" s="146">
        <f>+H161+$B$15</f>
        <v>47.445</v>
      </c>
      <c r="I156" s="142">
        <f>+I155</f>
        <v>80</v>
      </c>
      <c r="J156" s="143">
        <f>+(F156-H156)/I156</f>
        <v>2.3124999999999396E-3</v>
      </c>
      <c r="K156" s="142">
        <f>+K155</f>
        <v>948</v>
      </c>
      <c r="L156" s="132">
        <f>IF(K156&lt;38,K156^0.3686*0.7401,IF(K156&lt;235,K156^0.4193*0.6215,IF(K156&lt;932,K156*0.0092+4.2493,K156*0.0069+6.7345)))</f>
        <v>13.275700000000001</v>
      </c>
      <c r="M156" s="133">
        <f>+L156/1000</f>
        <v>1.32757E-2</v>
      </c>
      <c r="N156" s="133">
        <f t="shared" si="385"/>
        <v>0.16991726224424075</v>
      </c>
      <c r="O156" s="133">
        <f t="shared" si="386"/>
        <v>6.6896559938677465</v>
      </c>
      <c r="P156" s="134">
        <f t="shared" si="387"/>
        <v>8</v>
      </c>
      <c r="Q156" s="135">
        <f>IF(O156&gt;0,VLOOKUP(P156,'$ alcantarillado'!$I$5:$L$22,4,FALSE),"0")</f>
        <v>0.182</v>
      </c>
      <c r="R156" s="135">
        <f t="shared" si="388"/>
        <v>1.5944630491471507E-2</v>
      </c>
      <c r="S156" s="136">
        <f t="shared" si="389"/>
        <v>0.8326125843493789</v>
      </c>
      <c r="T156" s="134">
        <f>+IF(S156&gt;$B$13,VLOOKUP(P156,'$ alcantarillado'!$I$6:$N$22,5),P156)</f>
        <v>8</v>
      </c>
      <c r="U156" s="135">
        <f>IF(O156&gt;0,VLOOKUP(T156,'$ alcantarillado'!$I$5:$L$22,4),"0")</f>
        <v>0.182</v>
      </c>
      <c r="V156" s="135">
        <f t="shared" si="390"/>
        <v>1.5944630491471507E-2</v>
      </c>
      <c r="W156" s="136">
        <f t="shared" si="391"/>
        <v>0.8326125843493789</v>
      </c>
      <c r="X156" s="136">
        <f>IF(T156&gt;0,4*V156/(PI()*(U156)^2),"")</f>
        <v>0.61288896473649246</v>
      </c>
      <c r="Y156" s="135">
        <f>IF(T156&gt;0,(VLOOKUP($W156,Relaciones!$A$4:$D$108,2)),"")</f>
        <v>0.99299999999999999</v>
      </c>
      <c r="Z156" s="136">
        <f>IF(T156&gt;0,Y156*X156,"")</f>
        <v>0.60859874198333697</v>
      </c>
      <c r="AA156" s="136">
        <f>IF(T156&gt;0,250*U156*J156,"")</f>
        <v>0.10521874999999725</v>
      </c>
      <c r="AB156" s="137" t="str">
        <f>IF(T156&gt;0,IF(W156&lt;=$B$13,"OK","No Cumple"),"")</f>
        <v>OK</v>
      </c>
      <c r="AC156" s="137" t="str">
        <f>IF(T156&gt;0,IF(Z156&gt;=$B$12,"OK","No Cumple"),"")</f>
        <v>OK</v>
      </c>
      <c r="AD156" s="137" t="str">
        <f>IF(T156&gt;0,IF(AA156&gt;$B$14,"OK","No Cumple"),"")</f>
        <v>No Cumple</v>
      </c>
      <c r="AE156" s="138">
        <f>+IF(AB156="OK",1,0)</f>
        <v>1</v>
      </c>
      <c r="AF156" s="138">
        <f>+IF(AC156="OK",1,0)</f>
        <v>1</v>
      </c>
      <c r="AG156" s="138">
        <f>+IF(AD156="OK",1,0)</f>
        <v>0</v>
      </c>
      <c r="AH156" s="138">
        <f>SUM(AE156:AG156)</f>
        <v>2</v>
      </c>
      <c r="AI156" s="137">
        <f>IF(AH156=3,2*$B$7+U156,0)</f>
        <v>0</v>
      </c>
      <c r="AJ156" s="139">
        <f>IF(AI156&gt;0,I156*VLOOKUP(T156,'$ alcantarillado'!$I$6:$K$22,3),0)</f>
        <v>0</v>
      </c>
      <c r="AK156" s="139">
        <f t="shared" si="392"/>
        <v>0</v>
      </c>
      <c r="AL156" s="139">
        <f t="shared" si="393"/>
        <v>0</v>
      </c>
      <c r="AM156" s="139">
        <f>IF(AJ156&gt;0,AJ156+AK156+AL156,0)</f>
        <v>0</v>
      </c>
      <c r="AN156" s="174">
        <v>0</v>
      </c>
      <c r="AO156" s="140" t="str">
        <f t="shared" si="394"/>
        <v/>
      </c>
      <c r="AP156" s="217">
        <f>+MIN(AO156:AO160)</f>
        <v>0</v>
      </c>
      <c r="AQ156" s="142"/>
      <c r="AR156" s="165"/>
    </row>
    <row r="157" spans="1:44" x14ac:dyDescent="0.25">
      <c r="A157" s="230"/>
      <c r="B157" s="230"/>
      <c r="C157" s="230"/>
      <c r="D157" s="230"/>
      <c r="E157" s="141">
        <v>2</v>
      </c>
      <c r="F157" s="128">
        <f>+F156-$B$4</f>
        <v>47.129999999999995</v>
      </c>
      <c r="G157" s="141">
        <v>2</v>
      </c>
      <c r="H157" s="146">
        <f>+H156</f>
        <v>47.445</v>
      </c>
      <c r="I157" s="142">
        <f>+I156</f>
        <v>80</v>
      </c>
      <c r="J157" s="143">
        <f t="shared" si="395"/>
        <v>-3.9375000000000607E-3</v>
      </c>
      <c r="K157" s="142">
        <f>+K156</f>
        <v>948</v>
      </c>
      <c r="L157" s="128">
        <f t="shared" si="396"/>
        <v>13.275700000000001</v>
      </c>
      <c r="M157" s="144">
        <f t="shared" ref="M157:M160" si="411">+L157/1000</f>
        <v>1.32757E-2</v>
      </c>
      <c r="N157" s="144">
        <f t="shared" si="385"/>
        <v>0</v>
      </c>
      <c r="O157" s="144">
        <f t="shared" si="386"/>
        <v>0</v>
      </c>
      <c r="P157" s="145">
        <f t="shared" si="387"/>
        <v>0</v>
      </c>
      <c r="Q157" s="113" t="str">
        <f>IF(O157&gt;0,VLOOKUP(P157,'$ alcantarillado'!$I$5:$L$22,4,FALSE),"0")</f>
        <v>0</v>
      </c>
      <c r="R157" s="113" t="str">
        <f t="shared" si="388"/>
        <v/>
      </c>
      <c r="S157" s="146">
        <f t="shared" si="389"/>
        <v>0</v>
      </c>
      <c r="T157" s="145">
        <f>+IF(S157&gt;$B$13,VLOOKUP(P157,'$ alcantarillado'!$I$6:$N$22,5),P157)</f>
        <v>0</v>
      </c>
      <c r="U157" s="113" t="str">
        <f>IF(O157&gt;0,VLOOKUP(T157,'$ alcantarillado'!$I$5:$L$22,4),"0")</f>
        <v>0</v>
      </c>
      <c r="V157" s="113" t="str">
        <f t="shared" si="390"/>
        <v/>
      </c>
      <c r="W157" s="146">
        <f t="shared" si="391"/>
        <v>0</v>
      </c>
      <c r="X157" s="146" t="str">
        <f t="shared" ref="X157:X160" si="412">IF(T157&gt;0,4*V157/(PI()*(U157)^2),"")</f>
        <v/>
      </c>
      <c r="Y157" s="113" t="str">
        <f>IF(T157&gt;0,(VLOOKUP($W157,Relaciones!$A$4:$D$108,2)),"")</f>
        <v/>
      </c>
      <c r="Z157" s="146" t="str">
        <f t="shared" ref="Z157:Z160" si="413">IF(T157&gt;0,Y157*X157,"")</f>
        <v/>
      </c>
      <c r="AA157" s="146" t="str">
        <f t="shared" ref="AA157:AA160" si="414">IF(T157&gt;0,250*U157*J157,"")</f>
        <v/>
      </c>
      <c r="AB157" s="147" t="str">
        <f t="shared" ref="AB157:AB160" si="415">IF(T157&gt;0,IF(W157&lt;=$B$13,"OK","No Cumple"),"")</f>
        <v/>
      </c>
      <c r="AC157" s="147" t="str">
        <f t="shared" ref="AC157:AC160" si="416">IF(T157&gt;0,IF(Z157&gt;=$B$12,"OK","No Cumple"),"")</f>
        <v/>
      </c>
      <c r="AD157" s="147" t="str">
        <f t="shared" ref="AD157:AD160" si="417">IF(T157&gt;0,IF(AA157&gt;$B$14,"OK","No Cumple"),"")</f>
        <v/>
      </c>
      <c r="AE157" s="148">
        <f t="shared" ref="AE157:AG160" si="418">+IF(AB157="OK",1,0)</f>
        <v>0</v>
      </c>
      <c r="AF157" s="148">
        <f t="shared" si="418"/>
        <v>0</v>
      </c>
      <c r="AG157" s="148">
        <f t="shared" si="418"/>
        <v>0</v>
      </c>
      <c r="AH157" s="148">
        <f t="shared" ref="AH157:AH160" si="419">SUM(AE157:AG157)</f>
        <v>0</v>
      </c>
      <c r="AI157" s="147">
        <f t="shared" ref="AI157:AI160" si="420">IF(AH157=3,2*$B$7+U157,0)</f>
        <v>0</v>
      </c>
      <c r="AJ157" s="149">
        <f>IF(AI157&gt;0,I157*VLOOKUP(T157,'$ alcantarillado'!$I$6:$K$22,3),0)</f>
        <v>0</v>
      </c>
      <c r="AK157" s="149">
        <f t="shared" si="392"/>
        <v>0</v>
      </c>
      <c r="AL157" s="149">
        <f t="shared" si="393"/>
        <v>0</v>
      </c>
      <c r="AM157" s="149">
        <f t="shared" si="407"/>
        <v>0</v>
      </c>
      <c r="AN157" s="175">
        <v>0</v>
      </c>
      <c r="AO157" s="150" t="str">
        <f t="shared" si="394"/>
        <v/>
      </c>
      <c r="AP157" s="218"/>
      <c r="AQ157" s="142"/>
      <c r="AR157" s="165"/>
    </row>
    <row r="158" spans="1:44" x14ac:dyDescent="0.25">
      <c r="A158" s="230"/>
      <c r="B158" s="230"/>
      <c r="C158" s="230"/>
      <c r="D158" s="230"/>
      <c r="E158" s="151">
        <v>3</v>
      </c>
      <c r="F158" s="128">
        <f t="shared" ref="F158:F160" si="421">+F157-$B$4</f>
        <v>46.629999999999995</v>
      </c>
      <c r="G158" s="151">
        <v>2</v>
      </c>
      <c r="H158" s="146">
        <f t="shared" ref="H158:H159" si="422">+H157</f>
        <v>47.445</v>
      </c>
      <c r="I158" s="142">
        <f t="shared" ref="I158:I159" si="423">+I157</f>
        <v>80</v>
      </c>
      <c r="J158" s="143">
        <f t="shared" si="395"/>
        <v>-1.0187500000000061E-2</v>
      </c>
      <c r="K158" s="142">
        <f t="shared" ref="K158:K159" si="424">+K157</f>
        <v>948</v>
      </c>
      <c r="L158" s="128">
        <f t="shared" si="396"/>
        <v>13.275700000000001</v>
      </c>
      <c r="M158" s="144">
        <f t="shared" si="411"/>
        <v>1.32757E-2</v>
      </c>
      <c r="N158" s="144">
        <f t="shared" si="385"/>
        <v>0</v>
      </c>
      <c r="O158" s="144">
        <f t="shared" si="386"/>
        <v>0</v>
      </c>
      <c r="P158" s="145">
        <f t="shared" si="387"/>
        <v>0</v>
      </c>
      <c r="Q158" s="113" t="str">
        <f>IF(O158&gt;0,VLOOKUP(P158,'$ alcantarillado'!$I$5:$L$22,4,FALSE),"0")</f>
        <v>0</v>
      </c>
      <c r="R158" s="113" t="str">
        <f t="shared" si="388"/>
        <v/>
      </c>
      <c r="S158" s="146">
        <f t="shared" si="389"/>
        <v>0</v>
      </c>
      <c r="T158" s="145">
        <f>+IF(S158&gt;$B$13,VLOOKUP(P158,'$ alcantarillado'!$I$6:$N$22,5),P158)</f>
        <v>0</v>
      </c>
      <c r="U158" s="113" t="str">
        <f>IF(O158&gt;0,VLOOKUP(T158,'$ alcantarillado'!$I$5:$L$22,4),"0")</f>
        <v>0</v>
      </c>
      <c r="V158" s="113" t="str">
        <f t="shared" si="390"/>
        <v/>
      </c>
      <c r="W158" s="146">
        <f t="shared" si="391"/>
        <v>0</v>
      </c>
      <c r="X158" s="146" t="str">
        <f t="shared" si="412"/>
        <v/>
      </c>
      <c r="Y158" s="113" t="str">
        <f>IF(T158&gt;0,(VLOOKUP($W158,Relaciones!$A$4:$D$108,2)),"")</f>
        <v/>
      </c>
      <c r="Z158" s="146" t="str">
        <f t="shared" si="413"/>
        <v/>
      </c>
      <c r="AA158" s="146" t="str">
        <f t="shared" si="414"/>
        <v/>
      </c>
      <c r="AB158" s="147" t="str">
        <f t="shared" si="415"/>
        <v/>
      </c>
      <c r="AC158" s="147" t="str">
        <f t="shared" si="416"/>
        <v/>
      </c>
      <c r="AD158" s="147" t="str">
        <f t="shared" si="417"/>
        <v/>
      </c>
      <c r="AE158" s="148">
        <f t="shared" si="418"/>
        <v>0</v>
      </c>
      <c r="AF158" s="148">
        <f t="shared" si="418"/>
        <v>0</v>
      </c>
      <c r="AG158" s="148">
        <f t="shared" si="418"/>
        <v>0</v>
      </c>
      <c r="AH158" s="148">
        <f t="shared" si="419"/>
        <v>0</v>
      </c>
      <c r="AI158" s="147">
        <f t="shared" si="420"/>
        <v>0</v>
      </c>
      <c r="AJ158" s="149">
        <f>IF(AI158&gt;0,I158*VLOOKUP(T158,'$ alcantarillado'!$I$6:$K$22,3),0)</f>
        <v>0</v>
      </c>
      <c r="AK158" s="149">
        <f t="shared" si="392"/>
        <v>0</v>
      </c>
      <c r="AL158" s="149">
        <f t="shared" si="393"/>
        <v>0</v>
      </c>
      <c r="AM158" s="149">
        <f t="shared" si="407"/>
        <v>0</v>
      </c>
      <c r="AN158" s="175">
        <v>0</v>
      </c>
      <c r="AO158" s="150" t="str">
        <f t="shared" si="394"/>
        <v/>
      </c>
      <c r="AP158" s="219"/>
      <c r="AQ158" s="142"/>
      <c r="AR158" s="165"/>
    </row>
    <row r="159" spans="1:44" x14ac:dyDescent="0.25">
      <c r="A159" s="230"/>
      <c r="B159" s="230"/>
      <c r="C159" s="230"/>
      <c r="D159" s="230"/>
      <c r="E159" s="151">
        <v>4</v>
      </c>
      <c r="F159" s="128">
        <f t="shared" si="421"/>
        <v>46.129999999999995</v>
      </c>
      <c r="G159" s="151">
        <v>2</v>
      </c>
      <c r="H159" s="146">
        <f t="shared" si="422"/>
        <v>47.445</v>
      </c>
      <c r="I159" s="142">
        <f t="shared" si="423"/>
        <v>80</v>
      </c>
      <c r="J159" s="143">
        <f>+(F159-H159)/I159</f>
        <v>-1.643750000000006E-2</v>
      </c>
      <c r="K159" s="142">
        <f t="shared" si="424"/>
        <v>948</v>
      </c>
      <c r="L159" s="128">
        <f t="shared" si="396"/>
        <v>13.275700000000001</v>
      </c>
      <c r="M159" s="144">
        <f t="shared" si="411"/>
        <v>1.32757E-2</v>
      </c>
      <c r="N159" s="144">
        <f t="shared" si="385"/>
        <v>0</v>
      </c>
      <c r="O159" s="144">
        <f t="shared" si="386"/>
        <v>0</v>
      </c>
      <c r="P159" s="145">
        <f t="shared" si="387"/>
        <v>0</v>
      </c>
      <c r="Q159" s="113" t="str">
        <f>IF(O159&gt;0,VLOOKUP(P159,'$ alcantarillado'!$I$5:$L$22,4,FALSE),"0")</f>
        <v>0</v>
      </c>
      <c r="R159" s="113" t="str">
        <f t="shared" si="388"/>
        <v/>
      </c>
      <c r="S159" s="146">
        <f t="shared" si="389"/>
        <v>0</v>
      </c>
      <c r="T159" s="145">
        <f>+IF(S159&gt;$B$13,VLOOKUP(P159,'$ alcantarillado'!$I$6:$N$22,5),P159)</f>
        <v>0</v>
      </c>
      <c r="U159" s="113" t="str">
        <f>IF(O159&gt;0,VLOOKUP(T159,'$ alcantarillado'!$I$5:$L$22,4),"0")</f>
        <v>0</v>
      </c>
      <c r="V159" s="113" t="str">
        <f t="shared" si="390"/>
        <v/>
      </c>
      <c r="W159" s="146">
        <f t="shared" si="391"/>
        <v>0</v>
      </c>
      <c r="X159" s="146" t="str">
        <f t="shared" si="412"/>
        <v/>
      </c>
      <c r="Y159" s="113" t="str">
        <f>IF(T159&gt;0,(VLOOKUP($W159,Relaciones!$A$4:$D$108,2)),"")</f>
        <v/>
      </c>
      <c r="Z159" s="146" t="str">
        <f t="shared" si="413"/>
        <v/>
      </c>
      <c r="AA159" s="146" t="str">
        <f t="shared" si="414"/>
        <v/>
      </c>
      <c r="AB159" s="147" t="str">
        <f t="shared" si="415"/>
        <v/>
      </c>
      <c r="AC159" s="147" t="str">
        <f t="shared" si="416"/>
        <v/>
      </c>
      <c r="AD159" s="147" t="str">
        <f t="shared" si="417"/>
        <v/>
      </c>
      <c r="AE159" s="148">
        <f t="shared" si="418"/>
        <v>0</v>
      </c>
      <c r="AF159" s="148">
        <f t="shared" si="418"/>
        <v>0</v>
      </c>
      <c r="AG159" s="148">
        <f t="shared" si="418"/>
        <v>0</v>
      </c>
      <c r="AH159" s="148">
        <f t="shared" si="419"/>
        <v>0</v>
      </c>
      <c r="AI159" s="147">
        <f t="shared" si="420"/>
        <v>0</v>
      </c>
      <c r="AJ159" s="149">
        <f>IF(AI159&gt;0,I159*VLOOKUP(T159,'$ alcantarillado'!$I$6:$K$22,3),0)</f>
        <v>0</v>
      </c>
      <c r="AK159" s="149">
        <f t="shared" si="392"/>
        <v>0</v>
      </c>
      <c r="AL159" s="149">
        <f t="shared" si="393"/>
        <v>0</v>
      </c>
      <c r="AM159" s="149">
        <f t="shared" si="407"/>
        <v>0</v>
      </c>
      <c r="AN159" s="175">
        <v>0</v>
      </c>
      <c r="AO159" s="150" t="str">
        <f t="shared" si="394"/>
        <v/>
      </c>
      <c r="AP159" s="219"/>
      <c r="AQ159" s="142"/>
      <c r="AR159" s="165"/>
    </row>
    <row r="160" spans="1:44" ht="15.75" thickBot="1" x14ac:dyDescent="0.3">
      <c r="A160" s="230"/>
      <c r="B160" s="230"/>
      <c r="C160" s="230"/>
      <c r="D160" s="230"/>
      <c r="E160" s="152">
        <v>5</v>
      </c>
      <c r="F160" s="153">
        <f t="shared" si="421"/>
        <v>45.629999999999995</v>
      </c>
      <c r="G160" s="152">
        <v>2</v>
      </c>
      <c r="H160" s="169">
        <f>+H159</f>
        <v>47.445</v>
      </c>
      <c r="I160" s="154">
        <f>+I159</f>
        <v>80</v>
      </c>
      <c r="J160" s="155">
        <f t="shared" si="395"/>
        <v>-2.2687500000000062E-2</v>
      </c>
      <c r="K160" s="154">
        <f>+K159</f>
        <v>948</v>
      </c>
      <c r="L160" s="153">
        <f t="shared" si="396"/>
        <v>13.275700000000001</v>
      </c>
      <c r="M160" s="156">
        <f t="shared" si="411"/>
        <v>1.32757E-2</v>
      </c>
      <c r="N160" s="156">
        <f t="shared" si="385"/>
        <v>0</v>
      </c>
      <c r="O160" s="156">
        <f t="shared" si="386"/>
        <v>0</v>
      </c>
      <c r="P160" s="157">
        <f t="shared" si="387"/>
        <v>0</v>
      </c>
      <c r="Q160" s="113" t="str">
        <f>IF(O160&gt;0,VLOOKUP(P160,'$ alcantarillado'!$I$5:$L$22,4,FALSE),"0")</f>
        <v>0</v>
      </c>
      <c r="R160" s="160" t="str">
        <f t="shared" si="388"/>
        <v/>
      </c>
      <c r="S160" s="146">
        <f t="shared" si="389"/>
        <v>0</v>
      </c>
      <c r="T160" s="145">
        <f>+IF(S160&gt;$B$13,VLOOKUP(P160,'$ alcantarillado'!$I$6:$N$22,5),P160)</f>
        <v>0</v>
      </c>
      <c r="U160" s="113" t="str">
        <f>IF(O160&gt;0,VLOOKUP(T160,'$ alcantarillado'!$I$5:$L$22,4),"0")</f>
        <v>0</v>
      </c>
      <c r="V160" s="113" t="str">
        <f t="shared" si="390"/>
        <v/>
      </c>
      <c r="W160" s="146">
        <f t="shared" si="391"/>
        <v>0</v>
      </c>
      <c r="X160" s="146" t="str">
        <f t="shared" si="412"/>
        <v/>
      </c>
      <c r="Y160" s="113" t="str">
        <f>IF(T160&gt;0,(VLOOKUP($W160,Relaciones!$A$4:$D$108,2)),"")</f>
        <v/>
      </c>
      <c r="Z160" s="146" t="str">
        <f t="shared" si="413"/>
        <v/>
      </c>
      <c r="AA160" s="146" t="str">
        <f t="shared" si="414"/>
        <v/>
      </c>
      <c r="AB160" s="147" t="str">
        <f t="shared" si="415"/>
        <v/>
      </c>
      <c r="AC160" s="147" t="str">
        <f t="shared" si="416"/>
        <v/>
      </c>
      <c r="AD160" s="147" t="str">
        <f t="shared" si="417"/>
        <v/>
      </c>
      <c r="AE160" s="148">
        <f t="shared" si="418"/>
        <v>0</v>
      </c>
      <c r="AF160" s="148">
        <f t="shared" si="418"/>
        <v>0</v>
      </c>
      <c r="AG160" s="148">
        <f t="shared" si="418"/>
        <v>0</v>
      </c>
      <c r="AH160" s="148">
        <f t="shared" si="419"/>
        <v>0</v>
      </c>
      <c r="AI160" s="147">
        <f t="shared" si="420"/>
        <v>0</v>
      </c>
      <c r="AJ160" s="158">
        <f>IF(AI160&gt;0,I160*VLOOKUP(T160,'$ alcantarillado'!$I$6:$K$22,3),0)</f>
        <v>0</v>
      </c>
      <c r="AK160" s="149">
        <f t="shared" si="392"/>
        <v>0</v>
      </c>
      <c r="AL160" s="149">
        <f t="shared" si="393"/>
        <v>0</v>
      </c>
      <c r="AM160" s="158">
        <f t="shared" si="407"/>
        <v>0</v>
      </c>
      <c r="AN160" s="175">
        <v>0</v>
      </c>
      <c r="AO160" s="159" t="str">
        <f t="shared" si="394"/>
        <v/>
      </c>
      <c r="AP160" s="220"/>
      <c r="AQ160" s="154"/>
      <c r="AR160" s="166"/>
    </row>
    <row r="161" spans="1:44" x14ac:dyDescent="0.25">
      <c r="A161" s="230"/>
      <c r="B161" s="230"/>
      <c r="C161" s="230"/>
      <c r="D161" s="230"/>
      <c r="E161" s="127">
        <v>1</v>
      </c>
      <c r="F161" s="132">
        <f>+$D$151-$B$5</f>
        <v>47.629999999999995</v>
      </c>
      <c r="G161" s="127">
        <v>3</v>
      </c>
      <c r="H161" s="129">
        <f>+'LOGIKA AN-1'!H151</f>
        <v>47.32</v>
      </c>
      <c r="I161" s="129">
        <f t="shared" ref="I161" si="425">+I160</f>
        <v>80</v>
      </c>
      <c r="J161" s="143">
        <f>+(F161-H161)/I161</f>
        <v>3.8749999999999397E-3</v>
      </c>
      <c r="K161" s="129">
        <f t="shared" ref="K161" si="426">+K160</f>
        <v>948</v>
      </c>
      <c r="L161" s="132">
        <f>IF(K161&lt;38,K161^0.3686*0.7401,IF(K161&lt;235,K161^0.4193*0.6215,IF(K161&lt;932,K161*0.0092+4.2493,K161*0.0069+6.7345)))</f>
        <v>13.275700000000001</v>
      </c>
      <c r="M161" s="133">
        <f>+L161/1000</f>
        <v>1.32757E-2</v>
      </c>
      <c r="N161" s="133">
        <f t="shared" si="385"/>
        <v>0.15424172849385967</v>
      </c>
      <c r="O161" s="133">
        <f t="shared" si="386"/>
        <v>6.0725089958212468</v>
      </c>
      <c r="P161" s="134">
        <f t="shared" si="387"/>
        <v>8</v>
      </c>
      <c r="Q161" s="135">
        <f>IF(O161&gt;0,VLOOKUP(P161,'$ alcantarillado'!$I$5:$L$22,4,FALSE),"0")</f>
        <v>0.182</v>
      </c>
      <c r="R161" s="135">
        <f t="shared" si="388"/>
        <v>2.0639988066721529E-2</v>
      </c>
      <c r="S161" s="136">
        <f t="shared" si="389"/>
        <v>0.6432028912557759</v>
      </c>
      <c r="T161" s="134">
        <f>+IF(S161&gt;$B$13,VLOOKUP(P161,'$ alcantarillado'!$I$6:$N$22,5),P161)</f>
        <v>8</v>
      </c>
      <c r="U161" s="135">
        <f>IF(O161&gt;0,VLOOKUP(T161,'$ alcantarillado'!$I$5:$L$22,4),"0")</f>
        <v>0.182</v>
      </c>
      <c r="V161" s="135">
        <f t="shared" si="390"/>
        <v>2.0639988066721529E-2</v>
      </c>
      <c r="W161" s="136">
        <f t="shared" si="391"/>
        <v>0.6432028912557759</v>
      </c>
      <c r="X161" s="136">
        <f>IF(T161&gt;0,4*V161/(PI()*(U161)^2),"")</f>
        <v>0.79337184547191486</v>
      </c>
      <c r="Y161" s="135">
        <f>IF(T161&gt;0,(VLOOKUP($W161,Relaciones!$A$4:$D$108,2)),"")</f>
        <v>0.91800000000000004</v>
      </c>
      <c r="Z161" s="136">
        <f>IF(T161&gt;0,Y161*X161,"")</f>
        <v>0.72831535414321791</v>
      </c>
      <c r="AA161" s="136">
        <f>IF(T161&gt;0,250*U161*J161,"")</f>
        <v>0.17631249999999726</v>
      </c>
      <c r="AB161" s="137" t="str">
        <f>IF(T161&gt;0,IF(W161&lt;=$B$13,"OK","No Cumple"),"")</f>
        <v>OK</v>
      </c>
      <c r="AC161" s="137" t="str">
        <f>IF(T161&gt;0,IF(Z161&gt;=$B$12,"OK","No Cumple"),"")</f>
        <v>OK</v>
      </c>
      <c r="AD161" s="137" t="str">
        <f>IF(T161&gt;0,IF(AA161&gt;$B$14,"OK","No Cumple"),"")</f>
        <v>OK</v>
      </c>
      <c r="AE161" s="138">
        <f>+IF(AB161="OK",1,0)</f>
        <v>1</v>
      </c>
      <c r="AF161" s="138">
        <f>+IF(AC161="OK",1,0)</f>
        <v>1</v>
      </c>
      <c r="AG161" s="138">
        <f>+IF(AD161="OK",1,0)</f>
        <v>1</v>
      </c>
      <c r="AH161" s="138">
        <f>SUM(AE161:AG161)</f>
        <v>3</v>
      </c>
      <c r="AI161" s="137">
        <f>IF(AH161=3,2*$B$7+U161,0)</f>
        <v>0.68199999999999994</v>
      </c>
      <c r="AJ161" s="139">
        <f>IF(AI161&gt;0,I161*VLOOKUP(T161,'$ alcantarillado'!$I$6:$K$22,3),0)</f>
        <v>2654586.666666667</v>
      </c>
      <c r="AK161" s="139">
        <f t="shared" si="392"/>
        <v>2281371.8400000036</v>
      </c>
      <c r="AL161" s="139">
        <f t="shared" si="393"/>
        <v>964609.74200000195</v>
      </c>
      <c r="AM161" s="139">
        <f>IF(AJ161&gt;0,AJ161+AK161+AL161,0)</f>
        <v>5900568.248666672</v>
      </c>
      <c r="AN161" s="174">
        <v>0</v>
      </c>
      <c r="AO161" s="173">
        <f t="shared" si="394"/>
        <v>5900568.248666672</v>
      </c>
      <c r="AP161" s="225">
        <f>+MIN(AO161:AO165)</f>
        <v>5900568.248666672</v>
      </c>
      <c r="AQ161" s="129"/>
      <c r="AR161" s="163"/>
    </row>
    <row r="162" spans="1:44" x14ac:dyDescent="0.25">
      <c r="A162" s="230"/>
      <c r="B162" s="230"/>
      <c r="C162" s="230"/>
      <c r="D162" s="230"/>
      <c r="E162" s="141">
        <v>2</v>
      </c>
      <c r="F162" s="128">
        <f>+F161-$B$4</f>
        <v>47.129999999999995</v>
      </c>
      <c r="G162" s="141">
        <v>3</v>
      </c>
      <c r="H162" s="142">
        <f>+H161</f>
        <v>47.32</v>
      </c>
      <c r="I162" s="142">
        <f>+I161</f>
        <v>80</v>
      </c>
      <c r="J162" s="143">
        <f t="shared" si="395"/>
        <v>-2.3750000000000602E-3</v>
      </c>
      <c r="K162" s="142">
        <f>+K161</f>
        <v>948</v>
      </c>
      <c r="L162" s="128">
        <f t="shared" si="396"/>
        <v>13.275700000000001</v>
      </c>
      <c r="M162" s="144">
        <f t="shared" ref="M162:M165" si="427">+L162/1000</f>
        <v>1.32757E-2</v>
      </c>
      <c r="N162" s="144">
        <f t="shared" si="385"/>
        <v>0</v>
      </c>
      <c r="O162" s="144">
        <f t="shared" si="386"/>
        <v>0</v>
      </c>
      <c r="P162" s="145">
        <f t="shared" si="387"/>
        <v>0</v>
      </c>
      <c r="Q162" s="113" t="str">
        <f>IF(O162&gt;0,VLOOKUP(P162,'$ alcantarillado'!$I$5:$L$22,4,FALSE),"0")</f>
        <v>0</v>
      </c>
      <c r="R162" s="113" t="str">
        <f t="shared" si="388"/>
        <v/>
      </c>
      <c r="S162" s="146">
        <f t="shared" si="389"/>
        <v>0</v>
      </c>
      <c r="T162" s="145">
        <f>+IF(S162&gt;$B$13,VLOOKUP(P162,'$ alcantarillado'!$I$6:$N$22,5),P162)</f>
        <v>0</v>
      </c>
      <c r="U162" s="113" t="str">
        <f>IF(O162&gt;0,VLOOKUP(T162,'$ alcantarillado'!$I$5:$L$22,4),"0")</f>
        <v>0</v>
      </c>
      <c r="V162" s="113" t="str">
        <f t="shared" si="390"/>
        <v/>
      </c>
      <c r="W162" s="146">
        <f t="shared" si="391"/>
        <v>0</v>
      </c>
      <c r="X162" s="146" t="str">
        <f t="shared" ref="X162:X165" si="428">IF(T162&gt;0,4*V162/(PI()*(U162)^2),"")</f>
        <v/>
      </c>
      <c r="Y162" s="113" t="str">
        <f>IF(T162&gt;0,(VLOOKUP($W162,Relaciones!$A$4:$D$108,2)),"")</f>
        <v/>
      </c>
      <c r="Z162" s="146" t="str">
        <f t="shared" ref="Z162:Z165" si="429">IF(T162&gt;0,Y162*X162,"")</f>
        <v/>
      </c>
      <c r="AA162" s="146" t="str">
        <f t="shared" ref="AA162:AA165" si="430">IF(T162&gt;0,250*U162*J162,"")</f>
        <v/>
      </c>
      <c r="AB162" s="147" t="str">
        <f t="shared" ref="AB162:AB165" si="431">IF(T162&gt;0,IF(W162&lt;=$B$13,"OK","No Cumple"),"")</f>
        <v/>
      </c>
      <c r="AC162" s="147" t="str">
        <f t="shared" ref="AC162:AC165" si="432">IF(T162&gt;0,IF(Z162&gt;=$B$12,"OK","No Cumple"),"")</f>
        <v/>
      </c>
      <c r="AD162" s="147" t="str">
        <f t="shared" ref="AD162:AD165" si="433">IF(T162&gt;0,IF(AA162&gt;$B$14,"OK","No Cumple"),"")</f>
        <v/>
      </c>
      <c r="AE162" s="148">
        <f t="shared" ref="AE162:AG165" si="434">+IF(AB162="OK",1,0)</f>
        <v>0</v>
      </c>
      <c r="AF162" s="148">
        <f t="shared" si="434"/>
        <v>0</v>
      </c>
      <c r="AG162" s="148">
        <f t="shared" si="434"/>
        <v>0</v>
      </c>
      <c r="AH162" s="148">
        <f t="shared" ref="AH162:AH165" si="435">SUM(AE162:AG162)</f>
        <v>0</v>
      </c>
      <c r="AI162" s="147">
        <f t="shared" ref="AI162:AI165" si="436">IF(AH162=3,2*$B$7+U162,0)</f>
        <v>0</v>
      </c>
      <c r="AJ162" s="149">
        <f>IF(AI162&gt;0,I162*VLOOKUP(T162,'$ alcantarillado'!$I$6:$K$22,3),0)</f>
        <v>0</v>
      </c>
      <c r="AK162" s="149">
        <f t="shared" si="392"/>
        <v>0</v>
      </c>
      <c r="AL162" s="149">
        <f t="shared" si="393"/>
        <v>0</v>
      </c>
      <c r="AM162" s="149">
        <f t="shared" si="407"/>
        <v>0</v>
      </c>
      <c r="AN162" s="175">
        <v>0</v>
      </c>
      <c r="AO162" s="150" t="str">
        <f t="shared" si="394"/>
        <v/>
      </c>
      <c r="AP162" s="226"/>
      <c r="AQ162" s="142"/>
      <c r="AR162" s="165"/>
    </row>
    <row r="163" spans="1:44" x14ac:dyDescent="0.25">
      <c r="A163" s="230"/>
      <c r="B163" s="230"/>
      <c r="C163" s="230"/>
      <c r="D163" s="230"/>
      <c r="E163" s="151">
        <v>3</v>
      </c>
      <c r="F163" s="128">
        <f t="shared" ref="F163:F165" si="437">+F162-$B$4</f>
        <v>46.629999999999995</v>
      </c>
      <c r="G163" s="151">
        <v>3</v>
      </c>
      <c r="H163" s="142">
        <f t="shared" ref="H163:H164" si="438">+H162</f>
        <v>47.32</v>
      </c>
      <c r="I163" s="142">
        <f t="shared" ref="I163:I164" si="439">+I162</f>
        <v>80</v>
      </c>
      <c r="J163" s="143">
        <f t="shared" si="395"/>
        <v>-8.6250000000000597E-3</v>
      </c>
      <c r="K163" s="142">
        <f t="shared" ref="K163:K164" si="440">+K162</f>
        <v>948</v>
      </c>
      <c r="L163" s="128">
        <f t="shared" si="396"/>
        <v>13.275700000000001</v>
      </c>
      <c r="M163" s="144">
        <f t="shared" si="427"/>
        <v>1.32757E-2</v>
      </c>
      <c r="N163" s="144">
        <f t="shared" si="385"/>
        <v>0</v>
      </c>
      <c r="O163" s="144">
        <f t="shared" si="386"/>
        <v>0</v>
      </c>
      <c r="P163" s="145">
        <f t="shared" si="387"/>
        <v>0</v>
      </c>
      <c r="Q163" s="113" t="str">
        <f>IF(O163&gt;0,VLOOKUP(P163,'$ alcantarillado'!$I$5:$L$22,4,FALSE),"0")</f>
        <v>0</v>
      </c>
      <c r="R163" s="113" t="str">
        <f t="shared" si="388"/>
        <v/>
      </c>
      <c r="S163" s="146">
        <f t="shared" si="389"/>
        <v>0</v>
      </c>
      <c r="T163" s="145">
        <f>+IF(S163&gt;$B$13,VLOOKUP(P163,'$ alcantarillado'!$I$6:$N$22,5),P163)</f>
        <v>0</v>
      </c>
      <c r="U163" s="113" t="str">
        <f>IF(O163&gt;0,VLOOKUP(T163,'$ alcantarillado'!$I$5:$L$22,4),"0")</f>
        <v>0</v>
      </c>
      <c r="V163" s="113" t="str">
        <f t="shared" si="390"/>
        <v/>
      </c>
      <c r="W163" s="146">
        <f t="shared" si="391"/>
        <v>0</v>
      </c>
      <c r="X163" s="146" t="str">
        <f t="shared" si="428"/>
        <v/>
      </c>
      <c r="Y163" s="113" t="str">
        <f>IF(T163&gt;0,(VLOOKUP($W163,Relaciones!$A$4:$D$108,2)),"")</f>
        <v/>
      </c>
      <c r="Z163" s="146" t="str">
        <f t="shared" si="429"/>
        <v/>
      </c>
      <c r="AA163" s="146" t="str">
        <f t="shared" si="430"/>
        <v/>
      </c>
      <c r="AB163" s="147" t="str">
        <f t="shared" si="431"/>
        <v/>
      </c>
      <c r="AC163" s="147" t="str">
        <f t="shared" si="432"/>
        <v/>
      </c>
      <c r="AD163" s="147" t="str">
        <f t="shared" si="433"/>
        <v/>
      </c>
      <c r="AE163" s="148">
        <f t="shared" si="434"/>
        <v>0</v>
      </c>
      <c r="AF163" s="148">
        <f t="shared" si="434"/>
        <v>0</v>
      </c>
      <c r="AG163" s="148">
        <f t="shared" si="434"/>
        <v>0</v>
      </c>
      <c r="AH163" s="148">
        <f t="shared" si="435"/>
        <v>0</v>
      </c>
      <c r="AI163" s="147">
        <f t="shared" si="436"/>
        <v>0</v>
      </c>
      <c r="AJ163" s="149">
        <f>IF(AI163&gt;0,I163*VLOOKUP(T163,'$ alcantarillado'!$I$6:$K$22,3),0)</f>
        <v>0</v>
      </c>
      <c r="AK163" s="149">
        <f t="shared" si="392"/>
        <v>0</v>
      </c>
      <c r="AL163" s="149">
        <f t="shared" si="393"/>
        <v>0</v>
      </c>
      <c r="AM163" s="149">
        <f t="shared" si="407"/>
        <v>0</v>
      </c>
      <c r="AN163" s="175">
        <v>0</v>
      </c>
      <c r="AO163" s="150" t="str">
        <f t="shared" si="394"/>
        <v/>
      </c>
      <c r="AP163" s="227"/>
      <c r="AQ163" s="142"/>
      <c r="AR163" s="165"/>
    </row>
    <row r="164" spans="1:44" x14ac:dyDescent="0.25">
      <c r="A164" s="230"/>
      <c r="B164" s="230"/>
      <c r="C164" s="230"/>
      <c r="D164" s="230"/>
      <c r="E164" s="151">
        <v>4</v>
      </c>
      <c r="F164" s="128">
        <f t="shared" si="437"/>
        <v>46.129999999999995</v>
      </c>
      <c r="G164" s="151">
        <v>3</v>
      </c>
      <c r="H164" s="142">
        <f t="shared" si="438"/>
        <v>47.32</v>
      </c>
      <c r="I164" s="142">
        <f t="shared" si="439"/>
        <v>80</v>
      </c>
      <c r="J164" s="143">
        <f>+(F164-H164)/I164</f>
        <v>-1.487500000000006E-2</v>
      </c>
      <c r="K164" s="142">
        <f t="shared" si="440"/>
        <v>948</v>
      </c>
      <c r="L164" s="128">
        <f t="shared" si="396"/>
        <v>13.275700000000001</v>
      </c>
      <c r="M164" s="144">
        <f t="shared" si="427"/>
        <v>1.32757E-2</v>
      </c>
      <c r="N164" s="144">
        <f t="shared" si="385"/>
        <v>0</v>
      </c>
      <c r="O164" s="144">
        <f t="shared" si="386"/>
        <v>0</v>
      </c>
      <c r="P164" s="145">
        <f t="shared" si="387"/>
        <v>0</v>
      </c>
      <c r="Q164" s="113" t="str">
        <f>IF(O164&gt;0,VLOOKUP(P164,'$ alcantarillado'!$I$5:$L$22,4,FALSE),"0")</f>
        <v>0</v>
      </c>
      <c r="R164" s="113" t="str">
        <f t="shared" si="388"/>
        <v/>
      </c>
      <c r="S164" s="146">
        <f t="shared" si="389"/>
        <v>0</v>
      </c>
      <c r="T164" s="145">
        <f>+IF(S164&gt;$B$13,VLOOKUP(P164,'$ alcantarillado'!$I$6:$N$22,5),P164)</f>
        <v>0</v>
      </c>
      <c r="U164" s="113" t="str">
        <f>IF(O164&gt;0,VLOOKUP(T164,'$ alcantarillado'!$I$5:$L$22,4),"0")</f>
        <v>0</v>
      </c>
      <c r="V164" s="113" t="str">
        <f t="shared" si="390"/>
        <v/>
      </c>
      <c r="W164" s="146">
        <f t="shared" si="391"/>
        <v>0</v>
      </c>
      <c r="X164" s="146" t="str">
        <f t="shared" si="428"/>
        <v/>
      </c>
      <c r="Y164" s="113" t="str">
        <f>IF(T164&gt;0,(VLOOKUP($W164,Relaciones!$A$4:$D$108,2)),"")</f>
        <v/>
      </c>
      <c r="Z164" s="146" t="str">
        <f t="shared" si="429"/>
        <v/>
      </c>
      <c r="AA164" s="146" t="str">
        <f t="shared" si="430"/>
        <v/>
      </c>
      <c r="AB164" s="147" t="str">
        <f t="shared" si="431"/>
        <v/>
      </c>
      <c r="AC164" s="147" t="str">
        <f t="shared" si="432"/>
        <v/>
      </c>
      <c r="AD164" s="147" t="str">
        <f t="shared" si="433"/>
        <v/>
      </c>
      <c r="AE164" s="148">
        <f t="shared" si="434"/>
        <v>0</v>
      </c>
      <c r="AF164" s="148">
        <f t="shared" si="434"/>
        <v>0</v>
      </c>
      <c r="AG164" s="148">
        <f t="shared" si="434"/>
        <v>0</v>
      </c>
      <c r="AH164" s="148">
        <f t="shared" si="435"/>
        <v>0</v>
      </c>
      <c r="AI164" s="147">
        <f t="shared" si="436"/>
        <v>0</v>
      </c>
      <c r="AJ164" s="149">
        <f>IF(AI164&gt;0,I164*VLOOKUP(T164,'$ alcantarillado'!$I$6:$K$22,3),0)</f>
        <v>0</v>
      </c>
      <c r="AK164" s="149">
        <f t="shared" si="392"/>
        <v>0</v>
      </c>
      <c r="AL164" s="149">
        <f t="shared" si="393"/>
        <v>0</v>
      </c>
      <c r="AM164" s="149">
        <f t="shared" si="407"/>
        <v>0</v>
      </c>
      <c r="AN164" s="175">
        <v>0</v>
      </c>
      <c r="AO164" s="150" t="str">
        <f t="shared" si="394"/>
        <v/>
      </c>
      <c r="AP164" s="227"/>
      <c r="AQ164" s="142">
        <v>1</v>
      </c>
      <c r="AR164" s="165">
        <v>3</v>
      </c>
    </row>
    <row r="165" spans="1:44" ht="15.75" thickBot="1" x14ac:dyDescent="0.3">
      <c r="A165" s="230"/>
      <c r="B165" s="230"/>
      <c r="C165" s="230"/>
      <c r="D165" s="230"/>
      <c r="E165" s="152">
        <v>5</v>
      </c>
      <c r="F165" s="153">
        <f t="shared" si="437"/>
        <v>45.629999999999995</v>
      </c>
      <c r="G165" s="152">
        <v>3</v>
      </c>
      <c r="H165" s="154">
        <f>+H164</f>
        <v>47.32</v>
      </c>
      <c r="I165" s="154">
        <f>+I164</f>
        <v>80</v>
      </c>
      <c r="J165" s="155">
        <f t="shared" si="395"/>
        <v>-2.112500000000006E-2</v>
      </c>
      <c r="K165" s="154">
        <f>+K164</f>
        <v>948</v>
      </c>
      <c r="L165" s="153">
        <f t="shared" si="396"/>
        <v>13.275700000000001</v>
      </c>
      <c r="M165" s="156">
        <f t="shared" si="427"/>
        <v>1.32757E-2</v>
      </c>
      <c r="N165" s="156">
        <f t="shared" si="385"/>
        <v>0</v>
      </c>
      <c r="O165" s="156">
        <f t="shared" si="386"/>
        <v>0</v>
      </c>
      <c r="P165" s="157">
        <f t="shared" si="387"/>
        <v>0</v>
      </c>
      <c r="Q165" s="113" t="str">
        <f>IF(O165&gt;0,VLOOKUP(P165,'$ alcantarillado'!$I$5:$L$22,4,FALSE),"0")</f>
        <v>0</v>
      </c>
      <c r="R165" s="160" t="str">
        <f t="shared" si="388"/>
        <v/>
      </c>
      <c r="S165" s="146">
        <f t="shared" si="389"/>
        <v>0</v>
      </c>
      <c r="T165" s="145">
        <f>+IF(S165&gt;$B$13,VLOOKUP(P165,'$ alcantarillado'!$I$6:$N$22,5),P165)</f>
        <v>0</v>
      </c>
      <c r="U165" s="113" t="str">
        <f>IF(O165&gt;0,VLOOKUP(T165,'$ alcantarillado'!$I$5:$L$22,4),"0")</f>
        <v>0</v>
      </c>
      <c r="V165" s="113" t="str">
        <f t="shared" si="390"/>
        <v/>
      </c>
      <c r="W165" s="146">
        <f t="shared" si="391"/>
        <v>0</v>
      </c>
      <c r="X165" s="146" t="str">
        <f t="shared" si="428"/>
        <v/>
      </c>
      <c r="Y165" s="113" t="str">
        <f>IF(T165&gt;0,(VLOOKUP($W165,Relaciones!$A$4:$D$108,2)),"")</f>
        <v/>
      </c>
      <c r="Z165" s="146" t="str">
        <f t="shared" si="429"/>
        <v/>
      </c>
      <c r="AA165" s="146" t="str">
        <f t="shared" si="430"/>
        <v/>
      </c>
      <c r="AB165" s="147" t="str">
        <f t="shared" si="431"/>
        <v/>
      </c>
      <c r="AC165" s="147" t="str">
        <f t="shared" si="432"/>
        <v/>
      </c>
      <c r="AD165" s="147" t="str">
        <f t="shared" si="433"/>
        <v/>
      </c>
      <c r="AE165" s="148">
        <f t="shared" si="434"/>
        <v>0</v>
      </c>
      <c r="AF165" s="148">
        <f t="shared" si="434"/>
        <v>0</v>
      </c>
      <c r="AG165" s="148">
        <f t="shared" si="434"/>
        <v>0</v>
      </c>
      <c r="AH165" s="148">
        <f t="shared" si="435"/>
        <v>0</v>
      </c>
      <c r="AI165" s="147">
        <f t="shared" si="436"/>
        <v>0</v>
      </c>
      <c r="AJ165" s="158">
        <f>IF(AI165&gt;0,I165*VLOOKUP(T165,'$ alcantarillado'!$I$6:$K$22,3),0)</f>
        <v>0</v>
      </c>
      <c r="AK165" s="149">
        <f t="shared" si="392"/>
        <v>0</v>
      </c>
      <c r="AL165" s="149">
        <f t="shared" si="393"/>
        <v>0</v>
      </c>
      <c r="AM165" s="158">
        <f t="shared" si="407"/>
        <v>0</v>
      </c>
      <c r="AN165" s="175">
        <v>0</v>
      </c>
      <c r="AO165" s="159" t="str">
        <f t="shared" si="394"/>
        <v/>
      </c>
      <c r="AP165" s="228"/>
      <c r="AQ165" s="154"/>
      <c r="AR165" s="166"/>
    </row>
    <row r="166" spans="1:44" x14ac:dyDescent="0.25">
      <c r="A166" s="230"/>
      <c r="B166" s="230"/>
      <c r="C166" s="230"/>
      <c r="D166" s="230"/>
      <c r="E166" s="127">
        <v>1</v>
      </c>
      <c r="F166" s="132">
        <f>+$D$151-$B$5</f>
        <v>47.629999999999995</v>
      </c>
      <c r="G166" s="127">
        <v>4</v>
      </c>
      <c r="H166" s="132">
        <f>+H161-$B$15</f>
        <v>47.195</v>
      </c>
      <c r="I166" s="142">
        <f>+I161</f>
        <v>80</v>
      </c>
      <c r="J166" s="143">
        <f>+(F166-H166)/I166</f>
        <v>5.4374999999999398E-3</v>
      </c>
      <c r="K166" s="142">
        <f>+K161</f>
        <v>948</v>
      </c>
      <c r="L166" s="132">
        <f>IF(K166&lt;38,K166^0.3686*0.7401,IF(K166&lt;235,K166^0.4193*0.6215,IF(K166&lt;932,K166*0.0092+4.2493,K166*0.0069+6.7345)))</f>
        <v>13.275700000000001</v>
      </c>
      <c r="M166" s="133">
        <f>+L166/1000</f>
        <v>1.32757E-2</v>
      </c>
      <c r="N166" s="133">
        <f t="shared" si="385"/>
        <v>0.1447489644355632</v>
      </c>
      <c r="O166" s="133">
        <f t="shared" si="386"/>
        <v>5.6987781273843785</v>
      </c>
      <c r="P166" s="134">
        <f t="shared" si="387"/>
        <v>6</v>
      </c>
      <c r="Q166" s="135">
        <f>IF(O166&gt;0,VLOOKUP(P166,'$ alcantarillado'!$I$5:$L$22,4,FALSE),"0")</f>
        <v>0.14499999999999999</v>
      </c>
      <c r="R166" s="135">
        <f t="shared" si="388"/>
        <v>1.33371855971835E-2</v>
      </c>
      <c r="S166" s="136">
        <f t="shared" si="389"/>
        <v>0.99538991215684325</v>
      </c>
      <c r="T166" s="134">
        <f>+IF(S166&gt;$B$13,VLOOKUP(P166,'$ alcantarillado'!$I$6:$N$22,5),P166)</f>
        <v>8</v>
      </c>
      <c r="U166" s="135">
        <f>IF(O166&gt;0,VLOOKUP(T166,'$ alcantarillado'!$I$5:$L$22,4),"0")</f>
        <v>0.182</v>
      </c>
      <c r="V166" s="135">
        <f t="shared" si="390"/>
        <v>2.4449682478086533E-2</v>
      </c>
      <c r="W166" s="136">
        <f t="shared" si="391"/>
        <v>0.54298046659291321</v>
      </c>
      <c r="X166" s="136">
        <f>IF(T166&gt;0,4*V166/(PI()*(U166)^2),"")</f>
        <v>0.93981109127273821</v>
      </c>
      <c r="Y166" s="135">
        <f>IF(T166&gt;0,(VLOOKUP($W166,Relaciones!$A$4:$D$108,2)),"")</f>
        <v>0.87</v>
      </c>
      <c r="Z166" s="136">
        <f>IF(T166&gt;0,Y166*X166,"")</f>
        <v>0.81763564940728228</v>
      </c>
      <c r="AA166" s="136">
        <f>IF(T166&gt;0,250*U166*J166,"")</f>
        <v>0.24740624999999725</v>
      </c>
      <c r="AB166" s="137" t="str">
        <f>IF(T166&gt;0,IF(W166&lt;=$B$13,"OK","No Cumple"),"")</f>
        <v>OK</v>
      </c>
      <c r="AC166" s="137" t="str">
        <f>IF(T166&gt;0,IF(Z166&gt;=$B$12,"OK","No Cumple"),"")</f>
        <v>OK</v>
      </c>
      <c r="AD166" s="137" t="str">
        <f>IF(T166&gt;0,IF(AA166&gt;$B$14,"OK","No Cumple"),"")</f>
        <v>OK</v>
      </c>
      <c r="AE166" s="138">
        <f>+IF(AB166="OK",1,0)</f>
        <v>1</v>
      </c>
      <c r="AF166" s="138">
        <f>+IF(AC166="OK",1,0)</f>
        <v>1</v>
      </c>
      <c r="AG166" s="138">
        <f>+IF(AD166="OK",1,0)</f>
        <v>1</v>
      </c>
      <c r="AH166" s="138">
        <f>SUM(AE166:AG166)</f>
        <v>3</v>
      </c>
      <c r="AI166" s="137">
        <f>IF(AH166=3,2*$B$7+U166,0)</f>
        <v>0.68199999999999994</v>
      </c>
      <c r="AJ166" s="139">
        <f>IF(AI166&gt;0,I166*VLOOKUP(T166,'$ alcantarillado'!$I$6:$K$22,3),0)</f>
        <v>2654586.666666667</v>
      </c>
      <c r="AK166" s="139">
        <f t="shared" si="392"/>
        <v>2342751.8400000036</v>
      </c>
      <c r="AL166" s="139">
        <f t="shared" si="393"/>
        <v>964609.74200000195</v>
      </c>
      <c r="AM166" s="139">
        <f>IF(AJ166&gt;0,AJ166+AK166+AL166,0)</f>
        <v>5961948.248666672</v>
      </c>
      <c r="AN166" s="174">
        <v>0</v>
      </c>
      <c r="AO166" s="140">
        <f t="shared" si="394"/>
        <v>5961948.248666672</v>
      </c>
      <c r="AP166" s="217">
        <f t="shared" ref="AP166" si="441">+MIN(AO166:AO170)</f>
        <v>5961948.248666672</v>
      </c>
      <c r="AQ166" s="129"/>
      <c r="AR166" s="163"/>
    </row>
    <row r="167" spans="1:44" x14ac:dyDescent="0.25">
      <c r="A167" s="230"/>
      <c r="B167" s="230"/>
      <c r="C167" s="230"/>
      <c r="D167" s="230"/>
      <c r="E167" s="141">
        <v>2</v>
      </c>
      <c r="F167" s="128">
        <f>+F166-$B$4</f>
        <v>47.129999999999995</v>
      </c>
      <c r="G167" s="141">
        <v>4</v>
      </c>
      <c r="H167" s="128">
        <f>+H166</f>
        <v>47.195</v>
      </c>
      <c r="I167" s="142">
        <f>+I166</f>
        <v>80</v>
      </c>
      <c r="J167" s="143">
        <f t="shared" si="395"/>
        <v>-8.1250000000006035E-4</v>
      </c>
      <c r="K167" s="142">
        <f>+K166</f>
        <v>948</v>
      </c>
      <c r="L167" s="128">
        <f t="shared" si="396"/>
        <v>13.275700000000001</v>
      </c>
      <c r="M167" s="144">
        <f t="shared" ref="M167:M170" si="442">+L167/1000</f>
        <v>1.32757E-2</v>
      </c>
      <c r="N167" s="144">
        <f t="shared" si="385"/>
        <v>0</v>
      </c>
      <c r="O167" s="144">
        <f t="shared" si="386"/>
        <v>0</v>
      </c>
      <c r="P167" s="145">
        <f t="shared" si="387"/>
        <v>0</v>
      </c>
      <c r="Q167" s="113" t="str">
        <f>IF(O167&gt;0,VLOOKUP(P167,'$ alcantarillado'!$I$5:$L$22,4,FALSE),"0")</f>
        <v>0</v>
      </c>
      <c r="R167" s="113" t="str">
        <f t="shared" si="388"/>
        <v/>
      </c>
      <c r="S167" s="146">
        <f t="shared" si="389"/>
        <v>0</v>
      </c>
      <c r="T167" s="145">
        <f>+IF(S167&gt;$B$13,VLOOKUP(P167,'$ alcantarillado'!$I$6:$N$22,5),P167)</f>
        <v>0</v>
      </c>
      <c r="U167" s="113" t="str">
        <f>IF(O167&gt;0,VLOOKUP(T167,'$ alcantarillado'!$I$5:$L$22,4),"0")</f>
        <v>0</v>
      </c>
      <c r="V167" s="113" t="str">
        <f t="shared" si="390"/>
        <v/>
      </c>
      <c r="W167" s="146">
        <f t="shared" si="391"/>
        <v>0</v>
      </c>
      <c r="X167" s="146" t="str">
        <f t="shared" ref="X167:X170" si="443">IF(T167&gt;0,4*V167/(PI()*(U167)^2),"")</f>
        <v/>
      </c>
      <c r="Y167" s="113" t="str">
        <f>IF(T167&gt;0,(VLOOKUP($W167,Relaciones!$A$4:$D$108,2)),"")</f>
        <v/>
      </c>
      <c r="Z167" s="146" t="str">
        <f t="shared" ref="Z167:Z170" si="444">IF(T167&gt;0,Y167*X167,"")</f>
        <v/>
      </c>
      <c r="AA167" s="146" t="str">
        <f t="shared" ref="AA167:AA170" si="445">IF(T167&gt;0,250*U167*J167,"")</f>
        <v/>
      </c>
      <c r="AB167" s="147" t="str">
        <f t="shared" ref="AB167:AB170" si="446">IF(T167&gt;0,IF(W167&lt;=$B$13,"OK","No Cumple"),"")</f>
        <v/>
      </c>
      <c r="AC167" s="147" t="str">
        <f t="shared" ref="AC167:AC170" si="447">IF(T167&gt;0,IF(Z167&gt;=$B$12,"OK","No Cumple"),"")</f>
        <v/>
      </c>
      <c r="AD167" s="147" t="str">
        <f t="shared" ref="AD167:AD170" si="448">IF(T167&gt;0,IF(AA167&gt;$B$14,"OK","No Cumple"),"")</f>
        <v/>
      </c>
      <c r="AE167" s="148">
        <f t="shared" ref="AE167:AG170" si="449">+IF(AB167="OK",1,0)</f>
        <v>0</v>
      </c>
      <c r="AF167" s="148">
        <f t="shared" si="449"/>
        <v>0</v>
      </c>
      <c r="AG167" s="148">
        <f t="shared" si="449"/>
        <v>0</v>
      </c>
      <c r="AH167" s="148">
        <f t="shared" ref="AH167:AH170" si="450">SUM(AE167:AG167)</f>
        <v>0</v>
      </c>
      <c r="AI167" s="147">
        <f t="shared" ref="AI167:AI170" si="451">IF(AH167=3,2*$B$7+U167,0)</f>
        <v>0</v>
      </c>
      <c r="AJ167" s="149">
        <f>IF(AI167&gt;0,I167*VLOOKUP(T167,'$ alcantarillado'!$I$6:$K$22,3),0)</f>
        <v>0</v>
      </c>
      <c r="AK167" s="149">
        <f t="shared" si="392"/>
        <v>0</v>
      </c>
      <c r="AL167" s="149">
        <f t="shared" si="393"/>
        <v>0</v>
      </c>
      <c r="AM167" s="149">
        <f t="shared" si="407"/>
        <v>0</v>
      </c>
      <c r="AN167" s="175">
        <v>0</v>
      </c>
      <c r="AO167" s="150" t="str">
        <f t="shared" si="394"/>
        <v/>
      </c>
      <c r="AP167" s="218"/>
      <c r="AQ167" s="142"/>
      <c r="AR167" s="165"/>
    </row>
    <row r="168" spans="1:44" x14ac:dyDescent="0.25">
      <c r="A168" s="230"/>
      <c r="B168" s="230"/>
      <c r="C168" s="230"/>
      <c r="D168" s="230"/>
      <c r="E168" s="151">
        <v>3</v>
      </c>
      <c r="F168" s="128">
        <f t="shared" ref="F168:F170" si="452">+F167-$B$4</f>
        <v>46.629999999999995</v>
      </c>
      <c r="G168" s="151">
        <v>4</v>
      </c>
      <c r="H168" s="128">
        <f t="shared" ref="H168:H169" si="453">+H167</f>
        <v>47.195</v>
      </c>
      <c r="I168" s="142">
        <f t="shared" ref="I168:I169" si="454">+I167</f>
        <v>80</v>
      </c>
      <c r="J168" s="143">
        <f t="shared" si="395"/>
        <v>-7.06250000000006E-3</v>
      </c>
      <c r="K168" s="142">
        <f t="shared" ref="K168:K169" si="455">+K167</f>
        <v>948</v>
      </c>
      <c r="L168" s="128">
        <f t="shared" si="396"/>
        <v>13.275700000000001</v>
      </c>
      <c r="M168" s="144">
        <f t="shared" si="442"/>
        <v>1.32757E-2</v>
      </c>
      <c r="N168" s="144">
        <f t="shared" si="385"/>
        <v>0</v>
      </c>
      <c r="O168" s="144">
        <f t="shared" si="386"/>
        <v>0</v>
      </c>
      <c r="P168" s="145">
        <f t="shared" si="387"/>
        <v>0</v>
      </c>
      <c r="Q168" s="113" t="str">
        <f>IF(O168&gt;0,VLOOKUP(P168,'$ alcantarillado'!$I$5:$L$22,4,FALSE),"0")</f>
        <v>0</v>
      </c>
      <c r="R168" s="113" t="str">
        <f t="shared" si="388"/>
        <v/>
      </c>
      <c r="S168" s="146">
        <f t="shared" si="389"/>
        <v>0</v>
      </c>
      <c r="T168" s="145">
        <f>+IF(S168&gt;$B$13,VLOOKUP(P168,'$ alcantarillado'!$I$6:$N$22,5),P168)</f>
        <v>0</v>
      </c>
      <c r="U168" s="113" t="str">
        <f>IF(O168&gt;0,VLOOKUP(T168,'$ alcantarillado'!$I$5:$L$22,4),"0")</f>
        <v>0</v>
      </c>
      <c r="V168" s="113" t="str">
        <f t="shared" si="390"/>
        <v/>
      </c>
      <c r="W168" s="146">
        <f t="shared" si="391"/>
        <v>0</v>
      </c>
      <c r="X168" s="146" t="str">
        <f t="shared" si="443"/>
        <v/>
      </c>
      <c r="Y168" s="113" t="str">
        <f>IF(T168&gt;0,(VLOOKUP($W168,Relaciones!$A$4:$D$108,2)),"")</f>
        <v/>
      </c>
      <c r="Z168" s="146" t="str">
        <f t="shared" si="444"/>
        <v/>
      </c>
      <c r="AA168" s="146" t="str">
        <f t="shared" si="445"/>
        <v/>
      </c>
      <c r="AB168" s="147" t="str">
        <f t="shared" si="446"/>
        <v/>
      </c>
      <c r="AC168" s="147" t="str">
        <f t="shared" si="447"/>
        <v/>
      </c>
      <c r="AD168" s="147" t="str">
        <f t="shared" si="448"/>
        <v/>
      </c>
      <c r="AE168" s="148">
        <f t="shared" si="449"/>
        <v>0</v>
      </c>
      <c r="AF168" s="148">
        <f t="shared" si="449"/>
        <v>0</v>
      </c>
      <c r="AG168" s="148">
        <f t="shared" si="449"/>
        <v>0</v>
      </c>
      <c r="AH168" s="148">
        <f t="shared" si="450"/>
        <v>0</v>
      </c>
      <c r="AI168" s="147">
        <f t="shared" si="451"/>
        <v>0</v>
      </c>
      <c r="AJ168" s="149">
        <f>IF(AI168&gt;0,I168*VLOOKUP(T168,'$ alcantarillado'!$I$6:$K$22,3),0)</f>
        <v>0</v>
      </c>
      <c r="AK168" s="149">
        <f t="shared" si="392"/>
        <v>0</v>
      </c>
      <c r="AL168" s="149">
        <f t="shared" si="393"/>
        <v>0</v>
      </c>
      <c r="AM168" s="149">
        <f t="shared" si="407"/>
        <v>0</v>
      </c>
      <c r="AN168" s="175">
        <v>0</v>
      </c>
      <c r="AO168" s="150" t="str">
        <f t="shared" si="394"/>
        <v/>
      </c>
      <c r="AP168" s="219"/>
      <c r="AQ168" s="142">
        <v>1</v>
      </c>
      <c r="AR168" s="165">
        <v>4</v>
      </c>
    </row>
    <row r="169" spans="1:44" x14ac:dyDescent="0.25">
      <c r="A169" s="230"/>
      <c r="B169" s="230"/>
      <c r="C169" s="230"/>
      <c r="D169" s="230"/>
      <c r="E169" s="151">
        <v>4</v>
      </c>
      <c r="F169" s="128">
        <f t="shared" si="452"/>
        <v>46.129999999999995</v>
      </c>
      <c r="G169" s="151">
        <v>4</v>
      </c>
      <c r="H169" s="128">
        <f t="shared" si="453"/>
        <v>47.195</v>
      </c>
      <c r="I169" s="142">
        <f t="shared" si="454"/>
        <v>80</v>
      </c>
      <c r="J169" s="143">
        <f>+(F169-H169)/I169</f>
        <v>-1.331250000000006E-2</v>
      </c>
      <c r="K169" s="142">
        <f t="shared" si="455"/>
        <v>948</v>
      </c>
      <c r="L169" s="128">
        <f t="shared" si="396"/>
        <v>13.275700000000001</v>
      </c>
      <c r="M169" s="144">
        <f t="shared" si="442"/>
        <v>1.32757E-2</v>
      </c>
      <c r="N169" s="144">
        <f t="shared" si="385"/>
        <v>0</v>
      </c>
      <c r="O169" s="144">
        <f t="shared" si="386"/>
        <v>0</v>
      </c>
      <c r="P169" s="145">
        <f t="shared" si="387"/>
        <v>0</v>
      </c>
      <c r="Q169" s="113" t="str">
        <f>IF(O169&gt;0,VLOOKUP(P169,'$ alcantarillado'!$I$5:$L$22,4,FALSE),"0")</f>
        <v>0</v>
      </c>
      <c r="R169" s="113" t="str">
        <f t="shared" si="388"/>
        <v/>
      </c>
      <c r="S169" s="146">
        <f t="shared" si="389"/>
        <v>0</v>
      </c>
      <c r="T169" s="145">
        <f>+IF(S169&gt;$B$13,VLOOKUP(P169,'$ alcantarillado'!$I$6:$N$22,5),P169)</f>
        <v>0</v>
      </c>
      <c r="U169" s="113" t="str">
        <f>IF(O169&gt;0,VLOOKUP(T169,'$ alcantarillado'!$I$5:$L$22,4),"0")</f>
        <v>0</v>
      </c>
      <c r="V169" s="113" t="str">
        <f t="shared" si="390"/>
        <v/>
      </c>
      <c r="W169" s="146">
        <f t="shared" si="391"/>
        <v>0</v>
      </c>
      <c r="X169" s="146" t="str">
        <f t="shared" si="443"/>
        <v/>
      </c>
      <c r="Y169" s="113" t="str">
        <f>IF(T169&gt;0,(VLOOKUP($W169,Relaciones!$A$4:$D$108,2)),"")</f>
        <v/>
      </c>
      <c r="Z169" s="146" t="str">
        <f t="shared" si="444"/>
        <v/>
      </c>
      <c r="AA169" s="146" t="str">
        <f t="shared" si="445"/>
        <v/>
      </c>
      <c r="AB169" s="147" t="str">
        <f t="shared" si="446"/>
        <v/>
      </c>
      <c r="AC169" s="147" t="str">
        <f t="shared" si="447"/>
        <v/>
      </c>
      <c r="AD169" s="147" t="str">
        <f t="shared" si="448"/>
        <v/>
      </c>
      <c r="AE169" s="148">
        <f t="shared" si="449"/>
        <v>0</v>
      </c>
      <c r="AF169" s="148">
        <f t="shared" si="449"/>
        <v>0</v>
      </c>
      <c r="AG169" s="148">
        <f t="shared" si="449"/>
        <v>0</v>
      </c>
      <c r="AH169" s="148">
        <f t="shared" si="450"/>
        <v>0</v>
      </c>
      <c r="AI169" s="147">
        <f t="shared" si="451"/>
        <v>0</v>
      </c>
      <c r="AJ169" s="149">
        <f>IF(AI169&gt;0,I169*VLOOKUP(T169,'$ alcantarillado'!$I$6:$K$22,3),0)</f>
        <v>0</v>
      </c>
      <c r="AK169" s="149">
        <f t="shared" si="392"/>
        <v>0</v>
      </c>
      <c r="AL169" s="149">
        <f t="shared" si="393"/>
        <v>0</v>
      </c>
      <c r="AM169" s="149">
        <f t="shared" si="407"/>
        <v>0</v>
      </c>
      <c r="AN169" s="175">
        <v>0</v>
      </c>
      <c r="AO169" s="150" t="str">
        <f t="shared" si="394"/>
        <v/>
      </c>
      <c r="AP169" s="219"/>
      <c r="AQ169" s="142"/>
      <c r="AR169" s="165"/>
    </row>
    <row r="170" spans="1:44" ht="15.75" thickBot="1" x14ac:dyDescent="0.3">
      <c r="A170" s="230"/>
      <c r="B170" s="230"/>
      <c r="C170" s="230"/>
      <c r="D170" s="230"/>
      <c r="E170" s="152">
        <v>5</v>
      </c>
      <c r="F170" s="153">
        <f t="shared" si="452"/>
        <v>45.629999999999995</v>
      </c>
      <c r="G170" s="152">
        <v>4</v>
      </c>
      <c r="H170" s="153">
        <f>+H169</f>
        <v>47.195</v>
      </c>
      <c r="I170" s="154">
        <f>+I169</f>
        <v>80</v>
      </c>
      <c r="J170" s="155">
        <f t="shared" si="395"/>
        <v>-1.9562500000000059E-2</v>
      </c>
      <c r="K170" s="154">
        <f>+K169</f>
        <v>948</v>
      </c>
      <c r="L170" s="153">
        <f t="shared" si="396"/>
        <v>13.275700000000001</v>
      </c>
      <c r="M170" s="156">
        <f t="shared" si="442"/>
        <v>1.32757E-2</v>
      </c>
      <c r="N170" s="156">
        <f t="shared" si="385"/>
        <v>0</v>
      </c>
      <c r="O170" s="156">
        <f t="shared" si="386"/>
        <v>0</v>
      </c>
      <c r="P170" s="157">
        <f t="shared" si="387"/>
        <v>0</v>
      </c>
      <c r="Q170" s="113" t="str">
        <f>IF(O170&gt;0,VLOOKUP(P170,'$ alcantarillado'!$I$5:$L$22,4,FALSE),"0")</f>
        <v>0</v>
      </c>
      <c r="R170" s="160" t="str">
        <f t="shared" si="388"/>
        <v/>
      </c>
      <c r="S170" s="146">
        <f t="shared" si="389"/>
        <v>0</v>
      </c>
      <c r="T170" s="145">
        <f>+IF(S170&gt;$B$13,VLOOKUP(P170,'$ alcantarillado'!$I$6:$N$22,5),P170)</f>
        <v>0</v>
      </c>
      <c r="U170" s="113" t="str">
        <f>IF(O170&gt;0,VLOOKUP(T170,'$ alcantarillado'!$I$5:$L$22,4),"0")</f>
        <v>0</v>
      </c>
      <c r="V170" s="113" t="str">
        <f t="shared" si="390"/>
        <v/>
      </c>
      <c r="W170" s="146">
        <f t="shared" si="391"/>
        <v>0</v>
      </c>
      <c r="X170" s="146" t="str">
        <f t="shared" si="443"/>
        <v/>
      </c>
      <c r="Y170" s="113" t="str">
        <f>IF(T170&gt;0,(VLOOKUP($W170,Relaciones!$A$4:$D$108,2)),"")</f>
        <v/>
      </c>
      <c r="Z170" s="146" t="str">
        <f t="shared" si="444"/>
        <v/>
      </c>
      <c r="AA170" s="146" t="str">
        <f t="shared" si="445"/>
        <v/>
      </c>
      <c r="AB170" s="147" t="str">
        <f t="shared" si="446"/>
        <v/>
      </c>
      <c r="AC170" s="147" t="str">
        <f t="shared" si="447"/>
        <v/>
      </c>
      <c r="AD170" s="147" t="str">
        <f t="shared" si="448"/>
        <v/>
      </c>
      <c r="AE170" s="148">
        <f t="shared" si="449"/>
        <v>0</v>
      </c>
      <c r="AF170" s="148">
        <f t="shared" si="449"/>
        <v>0</v>
      </c>
      <c r="AG170" s="148">
        <f t="shared" si="449"/>
        <v>0</v>
      </c>
      <c r="AH170" s="148">
        <f t="shared" si="450"/>
        <v>0</v>
      </c>
      <c r="AI170" s="147">
        <f t="shared" si="451"/>
        <v>0</v>
      </c>
      <c r="AJ170" s="158">
        <f>IF(AI170&gt;0,I170*VLOOKUP(T170,'$ alcantarillado'!$I$6:$K$22,3),0)</f>
        <v>0</v>
      </c>
      <c r="AK170" s="149">
        <f t="shared" si="392"/>
        <v>0</v>
      </c>
      <c r="AL170" s="149">
        <f t="shared" si="393"/>
        <v>0</v>
      </c>
      <c r="AM170" s="158">
        <f t="shared" si="407"/>
        <v>0</v>
      </c>
      <c r="AN170" s="175">
        <v>0</v>
      </c>
      <c r="AO170" s="159" t="str">
        <f t="shared" si="394"/>
        <v/>
      </c>
      <c r="AP170" s="220"/>
      <c r="AQ170" s="154"/>
      <c r="AR170" s="166"/>
    </row>
    <row r="171" spans="1:44" x14ac:dyDescent="0.25">
      <c r="A171" s="230"/>
      <c r="B171" s="230"/>
      <c r="C171" s="230"/>
      <c r="D171" s="230"/>
      <c r="E171" s="127">
        <v>1</v>
      </c>
      <c r="F171" s="132">
        <f>+$D$151-$B$5</f>
        <v>47.629999999999995</v>
      </c>
      <c r="G171" s="127">
        <v>5</v>
      </c>
      <c r="H171" s="132">
        <f>+H161-2*$B$15</f>
        <v>47.07</v>
      </c>
      <c r="I171" s="142">
        <f>+I166</f>
        <v>80</v>
      </c>
      <c r="J171" s="143">
        <f>+(F171-H171)/I171</f>
        <v>6.9999999999999394E-3</v>
      </c>
      <c r="K171" s="142">
        <f>+K166</f>
        <v>948</v>
      </c>
      <c r="L171" s="132">
        <f>IF(K171&lt;38,K171^0.3686*0.7401,IF(K171&lt;235,K171^0.4193*0.6215,IF(K171&lt;932,K171*0.0092+4.2493,K171*0.0069+6.7345)))</f>
        <v>13.275700000000001</v>
      </c>
      <c r="M171" s="133">
        <f>+L171/1000</f>
        <v>1.32757E-2</v>
      </c>
      <c r="N171" s="133">
        <f t="shared" si="385"/>
        <v>0.13805334882615183</v>
      </c>
      <c r="O171" s="133">
        <f t="shared" si="386"/>
        <v>5.435171213628025</v>
      </c>
      <c r="P171" s="134">
        <f t="shared" si="387"/>
        <v>6</v>
      </c>
      <c r="Q171" s="135">
        <f>IF(O171&gt;0,VLOOKUP(P171,'$ alcantarillado'!$I$5:$L$22,4,FALSE),"0")</f>
        <v>0.14499999999999999</v>
      </c>
      <c r="R171" s="135">
        <f t="shared" si="388"/>
        <v>1.51326009498776E-2</v>
      </c>
      <c r="S171" s="136">
        <f t="shared" si="389"/>
        <v>0.87729135552916171</v>
      </c>
      <c r="T171" s="134">
        <f>+IF(S171&gt;$B$13,VLOOKUP(P171,'$ alcantarillado'!$I$6:$N$22,5),P171)</f>
        <v>8</v>
      </c>
      <c r="U171" s="135">
        <f>IF(O171&gt;0,VLOOKUP(T171,'$ alcantarillado'!$I$5:$L$22,4),"0")</f>
        <v>0.182</v>
      </c>
      <c r="V171" s="135">
        <f t="shared" si="390"/>
        <v>2.7741031688891745E-2</v>
      </c>
      <c r="W171" s="136">
        <f t="shared" si="391"/>
        <v>0.47855826520381167</v>
      </c>
      <c r="X171" s="136">
        <f>IF(T171&gt;0,4*V171/(PI()*(U171)^2),"")</f>
        <v>1.0663258832884992</v>
      </c>
      <c r="Y171" s="135">
        <f>IF(T171&gt;0,(VLOOKUP($W171,Relaciones!$A$4:$D$108,2)),"")</f>
        <v>0.83399999999999996</v>
      </c>
      <c r="Z171" s="136">
        <f>IF(T171&gt;0,Y171*X171,"")</f>
        <v>0.88931578666260824</v>
      </c>
      <c r="AA171" s="136">
        <f>IF(T171&gt;0,250*U171*J171,"")</f>
        <v>0.31849999999999723</v>
      </c>
      <c r="AB171" s="137" t="str">
        <f>IF(T171&gt;0,IF(W171&lt;=$B$13,"OK","No Cumple"),"")</f>
        <v>OK</v>
      </c>
      <c r="AC171" s="137" t="str">
        <f>IF(T171&gt;0,IF(Z171&gt;=$B$12,"OK","No Cumple"),"")</f>
        <v>OK</v>
      </c>
      <c r="AD171" s="137" t="str">
        <f>IF(T171&gt;0,IF(AA171&gt;$B$14,"OK","No Cumple"),"")</f>
        <v>OK</v>
      </c>
      <c r="AE171" s="138">
        <f>+IF(AB171="OK",1,0)</f>
        <v>1</v>
      </c>
      <c r="AF171" s="138">
        <f>+IF(AC171="OK",1,0)</f>
        <v>1</v>
      </c>
      <c r="AG171" s="138">
        <f>+IF(AD171="OK",1,0)</f>
        <v>1</v>
      </c>
      <c r="AH171" s="138">
        <f>SUM(AE171:AG171)</f>
        <v>3</v>
      </c>
      <c r="AI171" s="137">
        <f>IF(AH171=3,2*$B$7+U171,0)</f>
        <v>0.68199999999999994</v>
      </c>
      <c r="AJ171" s="139">
        <f>IF(AI171&gt;0,I171*VLOOKUP(T171,'$ alcantarillado'!$I$6:$K$22,3),0)</f>
        <v>2654586.666666667</v>
      </c>
      <c r="AK171" s="139">
        <f t="shared" si="392"/>
        <v>2404131.8400000036</v>
      </c>
      <c r="AL171" s="139">
        <f t="shared" si="393"/>
        <v>964609.74200000195</v>
      </c>
      <c r="AM171" s="139">
        <f>IF(AJ171&gt;0,AJ171+AK171+AL171,0)</f>
        <v>6023328.248666672</v>
      </c>
      <c r="AN171" s="174">
        <v>0</v>
      </c>
      <c r="AO171" s="140">
        <f t="shared" si="394"/>
        <v>6023328.248666672</v>
      </c>
      <c r="AP171" s="217">
        <f t="shared" ref="AP171" si="456">+MIN(AO171:AO175)</f>
        <v>6023328.248666672</v>
      </c>
      <c r="AQ171" s="142"/>
      <c r="AR171" s="165"/>
    </row>
    <row r="172" spans="1:44" x14ac:dyDescent="0.25">
      <c r="A172" s="230"/>
      <c r="B172" s="230"/>
      <c r="C172" s="230"/>
      <c r="D172" s="230"/>
      <c r="E172" s="141">
        <v>2</v>
      </c>
      <c r="F172" s="128">
        <f>+F171-$B$4</f>
        <v>47.129999999999995</v>
      </c>
      <c r="G172" s="141">
        <v>5</v>
      </c>
      <c r="H172" s="128">
        <f>+H171</f>
        <v>47.07</v>
      </c>
      <c r="I172" s="142">
        <f>+I171</f>
        <v>80</v>
      </c>
      <c r="J172" s="143">
        <f t="shared" si="395"/>
        <v>7.4999999999993963E-4</v>
      </c>
      <c r="K172" s="142">
        <f>+K171</f>
        <v>948</v>
      </c>
      <c r="L172" s="128">
        <f t="shared" si="396"/>
        <v>13.275700000000001</v>
      </c>
      <c r="M172" s="144">
        <f t="shared" ref="M172:M175" si="457">+L172/1000</f>
        <v>1.32757E-2</v>
      </c>
      <c r="N172" s="144">
        <f t="shared" si="385"/>
        <v>0.20985960041682264</v>
      </c>
      <c r="O172" s="144">
        <f t="shared" si="386"/>
        <v>8.2621889927882926</v>
      </c>
      <c r="P172" s="145">
        <f t="shared" si="387"/>
        <v>10</v>
      </c>
      <c r="Q172" s="113">
        <f>IF(O172&gt;0,VLOOKUP(P172,'$ alcantarillado'!$I$5:$L$22,4,FALSE),"0")</f>
        <v>0.22700000000000001</v>
      </c>
      <c r="R172" s="113">
        <f t="shared" si="388"/>
        <v>1.636751715152987E-2</v>
      </c>
      <c r="S172" s="146">
        <f t="shared" si="389"/>
        <v>0.8111004178027772</v>
      </c>
      <c r="T172" s="145">
        <f>+IF(S172&gt;$B$13,VLOOKUP(P172,'$ alcantarillado'!$I$6:$N$22,5),P172)</f>
        <v>10</v>
      </c>
      <c r="U172" s="113">
        <f>IF(O172&gt;0,VLOOKUP(T172,'$ alcantarillado'!$I$5:$L$22,4),"0")</f>
        <v>0.22700000000000001</v>
      </c>
      <c r="V172" s="113">
        <f t="shared" si="390"/>
        <v>1.636751715152987E-2</v>
      </c>
      <c r="W172" s="146">
        <f t="shared" si="391"/>
        <v>0.8111004178027772</v>
      </c>
      <c r="X172" s="146">
        <f t="shared" ref="X172:X175" si="458">IF(T172&gt;0,4*V172/(PI()*(U172)^2),"")</f>
        <v>0.40442799368237031</v>
      </c>
      <c r="Y172" s="113">
        <f>IF(T172&gt;0,(VLOOKUP($W172,Relaciones!$A$4:$D$108,2)),"")</f>
        <v>0.98699999999999999</v>
      </c>
      <c r="Z172" s="146">
        <f t="shared" ref="Z172:Z175" si="459">IF(T172&gt;0,Y172*X172,"")</f>
        <v>0.39917042976449951</v>
      </c>
      <c r="AA172" s="146">
        <f t="shared" ref="AA172:AA175" si="460">IF(T172&gt;0,250*U172*J172,"")</f>
        <v>4.2562499999996575E-2</v>
      </c>
      <c r="AB172" s="147" t="str">
        <f t="shared" ref="AB172:AB175" si="461">IF(T172&gt;0,IF(W172&lt;=$B$13,"OK","No Cumple"),"")</f>
        <v>OK</v>
      </c>
      <c r="AC172" s="147" t="str">
        <f t="shared" ref="AC172:AC175" si="462">IF(T172&gt;0,IF(Z172&gt;=$B$12,"OK","No Cumple"),"")</f>
        <v>No Cumple</v>
      </c>
      <c r="AD172" s="147" t="str">
        <f t="shared" ref="AD172:AD175" si="463">IF(T172&gt;0,IF(AA172&gt;$B$14,"OK","No Cumple"),"")</f>
        <v>No Cumple</v>
      </c>
      <c r="AE172" s="148">
        <f t="shared" ref="AE172:AG175" si="464">+IF(AB172="OK",1,0)</f>
        <v>1</v>
      </c>
      <c r="AF172" s="148">
        <f t="shared" si="464"/>
        <v>0</v>
      </c>
      <c r="AG172" s="148">
        <f t="shared" si="464"/>
        <v>0</v>
      </c>
      <c r="AH172" s="148">
        <f t="shared" ref="AH172:AH175" si="465">SUM(AE172:AG172)</f>
        <v>1</v>
      </c>
      <c r="AI172" s="147">
        <f t="shared" ref="AI172:AI175" si="466">IF(AH172=3,2*$B$7+U172,0)</f>
        <v>0</v>
      </c>
      <c r="AJ172" s="149">
        <f>IF(AI172&gt;0,I172*VLOOKUP(T172,'$ alcantarillado'!$I$6:$K$22,3),0)</f>
        <v>0</v>
      </c>
      <c r="AK172" s="149">
        <f t="shared" si="392"/>
        <v>0</v>
      </c>
      <c r="AL172" s="149">
        <f t="shared" si="393"/>
        <v>0</v>
      </c>
      <c r="AM172" s="149">
        <f t="shared" si="407"/>
        <v>0</v>
      </c>
      <c r="AN172" s="175">
        <v>0</v>
      </c>
      <c r="AO172" s="150" t="str">
        <f t="shared" si="394"/>
        <v/>
      </c>
      <c r="AP172" s="218"/>
      <c r="AQ172" s="142"/>
      <c r="AR172" s="165"/>
    </row>
    <row r="173" spans="1:44" x14ac:dyDescent="0.25">
      <c r="A173" s="230"/>
      <c r="B173" s="230"/>
      <c r="C173" s="230"/>
      <c r="D173" s="230"/>
      <c r="E173" s="151">
        <v>3</v>
      </c>
      <c r="F173" s="128">
        <f t="shared" ref="F173:F175" si="467">+F172-$B$4</f>
        <v>46.629999999999995</v>
      </c>
      <c r="G173" s="151">
        <v>5</v>
      </c>
      <c r="H173" s="128">
        <f t="shared" ref="H173:H174" si="468">+H172</f>
        <v>47.07</v>
      </c>
      <c r="I173" s="142">
        <f t="shared" ref="I173:I174" si="469">+I172</f>
        <v>80</v>
      </c>
      <c r="J173" s="143">
        <f t="shared" si="395"/>
        <v>-5.5000000000000604E-3</v>
      </c>
      <c r="K173" s="142">
        <f t="shared" ref="K173:K174" si="470">+K172</f>
        <v>948</v>
      </c>
      <c r="L173" s="128">
        <f t="shared" si="396"/>
        <v>13.275700000000001</v>
      </c>
      <c r="M173" s="144">
        <f t="shared" si="457"/>
        <v>1.32757E-2</v>
      </c>
      <c r="N173" s="144">
        <f t="shared" si="385"/>
        <v>0</v>
      </c>
      <c r="O173" s="144">
        <f t="shared" si="386"/>
        <v>0</v>
      </c>
      <c r="P173" s="145">
        <f t="shared" si="387"/>
        <v>0</v>
      </c>
      <c r="Q173" s="113" t="str">
        <f>IF(O173&gt;0,VLOOKUP(P173,'$ alcantarillado'!$I$5:$L$22,4,FALSE),"0")</f>
        <v>0</v>
      </c>
      <c r="R173" s="113" t="str">
        <f t="shared" si="388"/>
        <v/>
      </c>
      <c r="S173" s="146">
        <f t="shared" si="389"/>
        <v>0</v>
      </c>
      <c r="T173" s="145">
        <f>+IF(S173&gt;$B$13,VLOOKUP(P173,'$ alcantarillado'!$I$6:$N$22,5),P173)</f>
        <v>0</v>
      </c>
      <c r="U173" s="113" t="str">
        <f>IF(O173&gt;0,VLOOKUP(T173,'$ alcantarillado'!$I$5:$L$22,4),"0")</f>
        <v>0</v>
      </c>
      <c r="V173" s="113" t="str">
        <f t="shared" si="390"/>
        <v/>
      </c>
      <c r="W173" s="146">
        <f t="shared" si="391"/>
        <v>0</v>
      </c>
      <c r="X173" s="146" t="str">
        <f t="shared" si="458"/>
        <v/>
      </c>
      <c r="Y173" s="113" t="str">
        <f>IF(T173&gt;0,(VLOOKUP($W173,Relaciones!$A$4:$D$108,2)),"")</f>
        <v/>
      </c>
      <c r="Z173" s="146" t="str">
        <f t="shared" si="459"/>
        <v/>
      </c>
      <c r="AA173" s="146" t="str">
        <f t="shared" si="460"/>
        <v/>
      </c>
      <c r="AB173" s="147" t="str">
        <f t="shared" si="461"/>
        <v/>
      </c>
      <c r="AC173" s="147" t="str">
        <f t="shared" si="462"/>
        <v/>
      </c>
      <c r="AD173" s="147" t="str">
        <f t="shared" si="463"/>
        <v/>
      </c>
      <c r="AE173" s="148">
        <f t="shared" si="464"/>
        <v>0</v>
      </c>
      <c r="AF173" s="148">
        <f t="shared" si="464"/>
        <v>0</v>
      </c>
      <c r="AG173" s="148">
        <f t="shared" si="464"/>
        <v>0</v>
      </c>
      <c r="AH173" s="148">
        <f t="shared" si="465"/>
        <v>0</v>
      </c>
      <c r="AI173" s="147">
        <f t="shared" si="466"/>
        <v>0</v>
      </c>
      <c r="AJ173" s="149">
        <f>IF(AI173&gt;0,I173*VLOOKUP(T173,'$ alcantarillado'!$I$6:$K$22,3),0)</f>
        <v>0</v>
      </c>
      <c r="AK173" s="149">
        <f t="shared" si="392"/>
        <v>0</v>
      </c>
      <c r="AL173" s="149">
        <f t="shared" si="393"/>
        <v>0</v>
      </c>
      <c r="AM173" s="149">
        <f t="shared" si="407"/>
        <v>0</v>
      </c>
      <c r="AN173" s="175">
        <v>0</v>
      </c>
      <c r="AO173" s="150" t="str">
        <f t="shared" si="394"/>
        <v/>
      </c>
      <c r="AP173" s="219"/>
      <c r="AQ173" s="142">
        <v>1</v>
      </c>
      <c r="AR173" s="165">
        <v>5</v>
      </c>
    </row>
    <row r="174" spans="1:44" x14ac:dyDescent="0.25">
      <c r="A174" s="230"/>
      <c r="B174" s="230"/>
      <c r="C174" s="230"/>
      <c r="D174" s="230"/>
      <c r="E174" s="151">
        <v>4</v>
      </c>
      <c r="F174" s="128">
        <f t="shared" si="467"/>
        <v>46.129999999999995</v>
      </c>
      <c r="G174" s="151">
        <v>5</v>
      </c>
      <c r="H174" s="128">
        <f t="shared" si="468"/>
        <v>47.07</v>
      </c>
      <c r="I174" s="142">
        <f t="shared" si="469"/>
        <v>80</v>
      </c>
      <c r="J174" s="143">
        <f>+(F174-H174)/I174</f>
        <v>-1.1750000000000061E-2</v>
      </c>
      <c r="K174" s="142">
        <f t="shared" si="470"/>
        <v>948</v>
      </c>
      <c r="L174" s="128">
        <f t="shared" si="396"/>
        <v>13.275700000000001</v>
      </c>
      <c r="M174" s="144">
        <f t="shared" si="457"/>
        <v>1.32757E-2</v>
      </c>
      <c r="N174" s="144">
        <f t="shared" si="385"/>
        <v>0</v>
      </c>
      <c r="O174" s="144">
        <f t="shared" si="386"/>
        <v>0</v>
      </c>
      <c r="P174" s="145">
        <f t="shared" si="387"/>
        <v>0</v>
      </c>
      <c r="Q174" s="113" t="str">
        <f>IF(O174&gt;0,VLOOKUP(P174,'$ alcantarillado'!$I$5:$L$22,4,FALSE),"0")</f>
        <v>0</v>
      </c>
      <c r="R174" s="113" t="str">
        <f t="shared" si="388"/>
        <v/>
      </c>
      <c r="S174" s="146">
        <f t="shared" si="389"/>
        <v>0</v>
      </c>
      <c r="T174" s="145">
        <f>+IF(S174&gt;$B$13,VLOOKUP(P174,'$ alcantarillado'!$I$6:$N$22,5),P174)</f>
        <v>0</v>
      </c>
      <c r="U174" s="113" t="str">
        <f>IF(O174&gt;0,VLOOKUP(T174,'$ alcantarillado'!$I$5:$L$22,4),"0")</f>
        <v>0</v>
      </c>
      <c r="V174" s="113" t="str">
        <f t="shared" si="390"/>
        <v/>
      </c>
      <c r="W174" s="146">
        <f t="shared" si="391"/>
        <v>0</v>
      </c>
      <c r="X174" s="146" t="str">
        <f t="shared" si="458"/>
        <v/>
      </c>
      <c r="Y174" s="113" t="str">
        <f>IF(T174&gt;0,(VLOOKUP($W174,Relaciones!$A$4:$D$108,2)),"")</f>
        <v/>
      </c>
      <c r="Z174" s="146" t="str">
        <f t="shared" si="459"/>
        <v/>
      </c>
      <c r="AA174" s="146" t="str">
        <f t="shared" si="460"/>
        <v/>
      </c>
      <c r="AB174" s="147" t="str">
        <f t="shared" si="461"/>
        <v/>
      </c>
      <c r="AC174" s="147" t="str">
        <f t="shared" si="462"/>
        <v/>
      </c>
      <c r="AD174" s="147" t="str">
        <f t="shared" si="463"/>
        <v/>
      </c>
      <c r="AE174" s="148">
        <f t="shared" si="464"/>
        <v>0</v>
      </c>
      <c r="AF174" s="148">
        <f t="shared" si="464"/>
        <v>0</v>
      </c>
      <c r="AG174" s="148">
        <f t="shared" si="464"/>
        <v>0</v>
      </c>
      <c r="AH174" s="148">
        <f t="shared" si="465"/>
        <v>0</v>
      </c>
      <c r="AI174" s="147">
        <f t="shared" si="466"/>
        <v>0</v>
      </c>
      <c r="AJ174" s="149">
        <f>IF(AI174&gt;0,I174*VLOOKUP(T174,'$ alcantarillado'!$I$6:$K$22,3),0)</f>
        <v>0</v>
      </c>
      <c r="AK174" s="149">
        <f t="shared" si="392"/>
        <v>0</v>
      </c>
      <c r="AL174" s="149">
        <f t="shared" si="393"/>
        <v>0</v>
      </c>
      <c r="AM174" s="149">
        <f t="shared" si="407"/>
        <v>0</v>
      </c>
      <c r="AN174" s="175">
        <v>0</v>
      </c>
      <c r="AO174" s="150" t="str">
        <f t="shared" si="394"/>
        <v/>
      </c>
      <c r="AP174" s="219"/>
      <c r="AQ174" s="142"/>
      <c r="AR174" s="165"/>
    </row>
    <row r="175" spans="1:44" ht="15.75" thickBot="1" x14ac:dyDescent="0.3">
      <c r="A175" s="231"/>
      <c r="B175" s="231"/>
      <c r="C175" s="231"/>
      <c r="D175" s="231"/>
      <c r="E175" s="152">
        <v>5</v>
      </c>
      <c r="F175" s="153">
        <f t="shared" si="467"/>
        <v>45.629999999999995</v>
      </c>
      <c r="G175" s="152">
        <v>5</v>
      </c>
      <c r="H175" s="153">
        <f>+H174</f>
        <v>47.07</v>
      </c>
      <c r="I175" s="154">
        <f>+I174</f>
        <v>80</v>
      </c>
      <c r="J175" s="155">
        <f t="shared" si="395"/>
        <v>-1.8000000000000061E-2</v>
      </c>
      <c r="K175" s="154">
        <f>+K174</f>
        <v>948</v>
      </c>
      <c r="L175" s="153">
        <f t="shared" si="396"/>
        <v>13.275700000000001</v>
      </c>
      <c r="M175" s="156">
        <f t="shared" si="457"/>
        <v>1.32757E-2</v>
      </c>
      <c r="N175" s="156">
        <f t="shared" si="385"/>
        <v>0</v>
      </c>
      <c r="O175" s="156">
        <f t="shared" si="386"/>
        <v>0</v>
      </c>
      <c r="P175" s="157">
        <f t="shared" si="387"/>
        <v>0</v>
      </c>
      <c r="Q175" s="113" t="str">
        <f>IF(O175&gt;0,VLOOKUP(P175,'$ alcantarillado'!$I$5:$L$22,4,FALSE),"0")</f>
        <v>0</v>
      </c>
      <c r="R175" s="160" t="str">
        <f t="shared" si="388"/>
        <v/>
      </c>
      <c r="S175" s="146">
        <f t="shared" si="389"/>
        <v>0</v>
      </c>
      <c r="T175" s="145">
        <f>+IF(S175&gt;$B$13,VLOOKUP(P175,'$ alcantarillado'!$I$6:$N$22,5),P175)</f>
        <v>0</v>
      </c>
      <c r="U175" s="113" t="str">
        <f>IF(O175&gt;0,VLOOKUP(T175,'$ alcantarillado'!$I$5:$L$22,4),"0")</f>
        <v>0</v>
      </c>
      <c r="V175" s="113" t="str">
        <f t="shared" si="390"/>
        <v/>
      </c>
      <c r="W175" s="146">
        <f t="shared" si="391"/>
        <v>0</v>
      </c>
      <c r="X175" s="146" t="str">
        <f t="shared" si="458"/>
        <v/>
      </c>
      <c r="Y175" s="113" t="str">
        <f>IF(T175&gt;0,(VLOOKUP($W175,Relaciones!$A$4:$D$108,2)),"")</f>
        <v/>
      </c>
      <c r="Z175" s="146" t="str">
        <f t="shared" si="459"/>
        <v/>
      </c>
      <c r="AA175" s="146" t="str">
        <f t="shared" si="460"/>
        <v/>
      </c>
      <c r="AB175" s="147" t="str">
        <f t="shared" si="461"/>
        <v/>
      </c>
      <c r="AC175" s="147" t="str">
        <f t="shared" si="462"/>
        <v/>
      </c>
      <c r="AD175" s="147" t="str">
        <f t="shared" si="463"/>
        <v/>
      </c>
      <c r="AE175" s="148">
        <f t="shared" si="464"/>
        <v>0</v>
      </c>
      <c r="AF175" s="148">
        <f t="shared" si="464"/>
        <v>0</v>
      </c>
      <c r="AG175" s="148">
        <f t="shared" si="464"/>
        <v>0</v>
      </c>
      <c r="AH175" s="148">
        <f t="shared" si="465"/>
        <v>0</v>
      </c>
      <c r="AI175" s="147">
        <f t="shared" si="466"/>
        <v>0</v>
      </c>
      <c r="AJ175" s="158">
        <f>IF(AI175&gt;0,I175*VLOOKUP(T175,'$ alcantarillado'!$I$6:$K$22,3),0)</f>
        <v>0</v>
      </c>
      <c r="AK175" s="149">
        <f t="shared" si="392"/>
        <v>0</v>
      </c>
      <c r="AL175" s="149">
        <f t="shared" si="393"/>
        <v>0</v>
      </c>
      <c r="AM175" s="158">
        <f t="shared" si="407"/>
        <v>0</v>
      </c>
      <c r="AN175" s="175">
        <v>0</v>
      </c>
      <c r="AO175" s="159" t="str">
        <f t="shared" si="394"/>
        <v/>
      </c>
      <c r="AP175" s="220"/>
      <c r="AQ175" s="142"/>
      <c r="AR175" s="165"/>
    </row>
    <row r="176" spans="1:44" x14ac:dyDescent="0.25">
      <c r="A176" s="210">
        <v>7</v>
      </c>
      <c r="B176" s="210">
        <v>4</v>
      </c>
      <c r="C176" s="210">
        <v>5</v>
      </c>
      <c r="D176" s="210">
        <v>49.02</v>
      </c>
      <c r="E176" s="4">
        <v>1</v>
      </c>
      <c r="F176" s="7">
        <f>+H151</f>
        <v>47.57</v>
      </c>
      <c r="G176" s="4">
        <v>1</v>
      </c>
      <c r="H176" s="64">
        <f>+H186+2*$B$15</f>
        <v>47.14</v>
      </c>
      <c r="I176" s="7">
        <v>80</v>
      </c>
      <c r="J176" s="17">
        <f>+(F176-H176)/I176</f>
        <v>5.3749999999999961E-3</v>
      </c>
      <c r="K176" s="32">
        <f>+K151</f>
        <v>948</v>
      </c>
      <c r="L176" s="14">
        <f>IF(K176&lt;38,K176^0.3686*0.7401,IF(K176&lt;235,K176^0.4193*0.6215,IF(K176&lt;932,K176*0.0092+4.2493,K176*0.0069+6.7345)))</f>
        <v>13.275700000000001</v>
      </c>
      <c r="M176" s="31">
        <f>+L176/1000</f>
        <v>1.32757E-2</v>
      </c>
      <c r="N176" s="31">
        <f t="shared" si="385"/>
        <v>0.1450630704499157</v>
      </c>
      <c r="O176" s="31">
        <f t="shared" si="386"/>
        <v>5.711144505902193</v>
      </c>
      <c r="P176" s="57">
        <f t="shared" si="387"/>
        <v>6</v>
      </c>
      <c r="Q176" s="60">
        <f>IF(O176&gt;0,VLOOKUP(P176,'$ alcantarillado'!$I$5:$L$22,4,FALSE),"0")</f>
        <v>0.14499999999999999</v>
      </c>
      <c r="R176" s="60">
        <f t="shared" si="388"/>
        <v>1.3260313570181519E-2</v>
      </c>
      <c r="S176" s="27">
        <f t="shared" si="389"/>
        <v>1.0011603368002608</v>
      </c>
      <c r="T176" s="57">
        <f>+IF(S176&gt;$B$13,VLOOKUP(P176,'$ alcantarillado'!$I$6:$N$22,5),P176)</f>
        <v>8</v>
      </c>
      <c r="U176" s="60">
        <f>IF(O176&gt;0,VLOOKUP(T176,'$ alcantarillado'!$I$5:$L$22,4),"0")</f>
        <v>0.182</v>
      </c>
      <c r="V176" s="60">
        <f t="shared" si="390"/>
        <v>2.4308760944232927E-2</v>
      </c>
      <c r="W176" s="27">
        <f t="shared" si="391"/>
        <v>0.54612820581254518</v>
      </c>
      <c r="X176" s="27">
        <f>IF(T176&gt;0,4*V176/(PI()*(U176)^2),"")</f>
        <v>0.9343942675314284</v>
      </c>
      <c r="Y176" s="60">
        <f>IF(T176&gt;0,(VLOOKUP($W176,Relaciones!$A$4:$D$108,2)),"")</f>
        <v>0.87</v>
      </c>
      <c r="Z176" s="27">
        <f>IF(T176&gt;0,Y176*X176,"")</f>
        <v>0.81292301275234269</v>
      </c>
      <c r="AA176" s="27">
        <f>IF(T176&gt;0,250*U176*J176,"")</f>
        <v>0.24456249999999982</v>
      </c>
      <c r="AB176" s="45" t="str">
        <f>IF(T176&gt;0,IF(W176&lt;=$B$13,"OK","No Cumple"),"")</f>
        <v>OK</v>
      </c>
      <c r="AC176" s="45" t="str">
        <f>IF(T176&gt;0,IF(Z176&gt;=$B$12,"OK","No Cumple"),"")</f>
        <v>OK</v>
      </c>
      <c r="AD176" s="45" t="str">
        <f>IF(T176&gt;0,IF(AA176&gt;$B$14,"OK","No Cumple"),"")</f>
        <v>OK</v>
      </c>
      <c r="AE176" s="32">
        <f>+IF(AB176="OK",1,0)</f>
        <v>1</v>
      </c>
      <c r="AF176" s="32">
        <f>+IF(AC176="OK",1,0)</f>
        <v>1</v>
      </c>
      <c r="AG176" s="32">
        <f>+IF(AD176="OK",1,0)</f>
        <v>1</v>
      </c>
      <c r="AH176" s="32">
        <f>SUM(AE176:AG176)</f>
        <v>3</v>
      </c>
      <c r="AI176" s="45">
        <f>IF(AH176=3,2*$B$7+U176,0)</f>
        <v>0.68199999999999994</v>
      </c>
      <c r="AJ176" s="21">
        <f>IF(AI176&gt;0,I176*VLOOKUP(T176,'$ alcantarillado'!$I$6:$K$22,3),0)</f>
        <v>2654586.666666667</v>
      </c>
      <c r="AK176" s="61">
        <f t="shared" ref="AK176:AK200" si="471">IF(N176&gt;0,((($D$176-F176)+(U176))+(($D$201-H176)+(U176))/2)*AI176*I176*$C$9,0)</f>
        <v>2649651.8400000036</v>
      </c>
      <c r="AL176" s="61">
        <f t="shared" ref="AL176:AL200" si="472">IF(AI176&gt;0,(($D$176-F176)+U176)*$C$10,0)</f>
        <v>1139104.9920000019</v>
      </c>
      <c r="AM176" s="21">
        <f>IF(AJ176&gt;0,AJ176+AK176+AL176,0)</f>
        <v>6443343.498666672</v>
      </c>
      <c r="AN176" s="81">
        <f>IF(AP151&gt;0,+AP151,0)</f>
        <v>0</v>
      </c>
      <c r="AO176" s="77" t="str">
        <f>IF((AM176)&gt;0,IF(AN176&gt;0,AM176+AN176,""),"")</f>
        <v/>
      </c>
      <c r="AP176" s="213">
        <f>+MIN(AO176:AO180)</f>
        <v>0</v>
      </c>
      <c r="AQ176" s="7"/>
      <c r="AR176" s="8"/>
    </row>
    <row r="177" spans="1:44" x14ac:dyDescent="0.25">
      <c r="A177" s="211"/>
      <c r="B177" s="211"/>
      <c r="C177" s="211"/>
      <c r="D177" s="211"/>
      <c r="E177" s="5">
        <v>2</v>
      </c>
      <c r="F177" s="2">
        <f>+H156</f>
        <v>47.445</v>
      </c>
      <c r="G177" s="5">
        <v>1</v>
      </c>
      <c r="H177" s="35">
        <f>+H176</f>
        <v>47.14</v>
      </c>
      <c r="I177" s="2">
        <f>+I176</f>
        <v>80</v>
      </c>
      <c r="J177" s="18">
        <f t="shared" ref="J177:J200" si="473">+(F177-H177)/I177</f>
        <v>3.8124999999999964E-3</v>
      </c>
      <c r="K177" s="2">
        <f>+K176</f>
        <v>948</v>
      </c>
      <c r="L177" s="15">
        <f t="shared" ref="L177:L200" si="474">IF(K177&lt;38,K177^0.3686*0.7401,IF(K177&lt;235,K177^0.4193*0.6215,IF(K177&lt;932,K177*0.0092+4.2493,K177*0.0069+6.7345)))</f>
        <v>13.275700000000001</v>
      </c>
      <c r="M177" s="33">
        <f t="shared" ref="M177:M180" si="475">+L177/1000</f>
        <v>1.32757E-2</v>
      </c>
      <c r="N177" s="33">
        <f t="shared" si="385"/>
        <v>0.15471270563132869</v>
      </c>
      <c r="O177" s="33">
        <f t="shared" si="386"/>
        <v>6.0910514028082163</v>
      </c>
      <c r="P177" s="58">
        <f t="shared" si="387"/>
        <v>8</v>
      </c>
      <c r="Q177" s="55">
        <f>IF(O177&gt;0,VLOOKUP(P177,'$ alcantarillado'!$I$5:$L$22,4,FALSE),"0")</f>
        <v>0.182</v>
      </c>
      <c r="R177" s="55">
        <f t="shared" si="388"/>
        <v>2.0472859906691582E-2</v>
      </c>
      <c r="S177" s="35">
        <f t="shared" si="389"/>
        <v>0.64845361422420611</v>
      </c>
      <c r="T177" s="58">
        <f>+IF(S177&gt;$B$13,VLOOKUP(P177,'$ alcantarillado'!$I$6:$N$22,5),P177)</f>
        <v>8</v>
      </c>
      <c r="U177" s="55">
        <f>IF(O177&gt;0,VLOOKUP(T177,'$ alcantarillado'!$I$5:$L$22,4),"0")</f>
        <v>0.182</v>
      </c>
      <c r="V177" s="55">
        <f t="shared" si="390"/>
        <v>2.0472859906691582E-2</v>
      </c>
      <c r="W177" s="35">
        <f t="shared" si="391"/>
        <v>0.64845361422420611</v>
      </c>
      <c r="X177" s="35">
        <f t="shared" ref="X177:X180" si="476">IF(T177&gt;0,4*V177/(PI()*(U177)^2),"")</f>
        <v>0.78694767621732742</v>
      </c>
      <c r="Y177" s="55">
        <f>IF(T177&gt;0,(VLOOKUP($W177,Relaciones!$A$4:$D$108,2)),"")</f>
        <v>0.91800000000000004</v>
      </c>
      <c r="Z177" s="35">
        <f t="shared" ref="Z177:Z180" si="477">IF(T177&gt;0,Y177*X177,"")</f>
        <v>0.72241796676750658</v>
      </c>
      <c r="AA177" s="35">
        <f t="shared" ref="AA177:AA180" si="478">IF(T177&gt;0,250*U177*J177,"")</f>
        <v>0.17346874999999984</v>
      </c>
      <c r="AB177" s="46" t="str">
        <f t="shared" ref="AB177:AB180" si="479">IF(T177&gt;0,IF(W177&lt;=$B$13,"OK","No Cumple"),"")</f>
        <v>OK</v>
      </c>
      <c r="AC177" s="46" t="str">
        <f t="shared" ref="AC177:AC180" si="480">IF(T177&gt;0,IF(Z177&gt;=$B$12,"OK","No Cumple"),"")</f>
        <v>OK</v>
      </c>
      <c r="AD177" s="46" t="str">
        <f t="shared" ref="AD177:AD180" si="481">IF(T177&gt;0,IF(AA177&gt;$B$14,"OK","No Cumple"),"")</f>
        <v>OK</v>
      </c>
      <c r="AE177" s="48">
        <f t="shared" ref="AE177:AG180" si="482">+IF(AB177="OK",1,0)</f>
        <v>1</v>
      </c>
      <c r="AF177" s="48">
        <f t="shared" si="482"/>
        <v>1</v>
      </c>
      <c r="AG177" s="48">
        <f t="shared" si="482"/>
        <v>1</v>
      </c>
      <c r="AH177" s="48">
        <f t="shared" ref="AH177:AH180" si="483">SUM(AE177:AG177)</f>
        <v>3</v>
      </c>
      <c r="AI177" s="46">
        <f t="shared" ref="AI177:AI180" si="484">IF(AH177=3,2*$B$7+U177,0)</f>
        <v>0.68199999999999994</v>
      </c>
      <c r="AJ177" s="20">
        <f>IF(AI177&gt;0,I177*VLOOKUP(T177,'$ alcantarillado'!$I$6:$K$22,3),0)</f>
        <v>2654586.666666667</v>
      </c>
      <c r="AK177" s="20">
        <f t="shared" si="471"/>
        <v>2772411.840000004</v>
      </c>
      <c r="AL177" s="20">
        <f t="shared" si="472"/>
        <v>1226352.6170000019</v>
      </c>
      <c r="AM177" s="20">
        <f t="shared" ref="AM177:AM200" si="485">IF(AJ177&gt;0,AJ177+AK177+AL177,0)</f>
        <v>6653351.1236666739</v>
      </c>
      <c r="AN177" s="80">
        <f>+AP156</f>
        <v>0</v>
      </c>
      <c r="AO177" s="78" t="str">
        <f t="shared" ref="AO177:AO180" si="486">IF((AM177)&gt;0,IF(AN177&gt;0,AM177+AN177,""),"")</f>
        <v/>
      </c>
      <c r="AP177" s="214"/>
      <c r="AQ177" s="2"/>
      <c r="AR177" s="9"/>
    </row>
    <row r="178" spans="1:44" x14ac:dyDescent="0.25">
      <c r="A178" s="211"/>
      <c r="B178" s="211"/>
      <c r="C178" s="211"/>
      <c r="D178" s="211"/>
      <c r="E178" s="56">
        <v>3</v>
      </c>
      <c r="F178" s="2">
        <f>+H161</f>
        <v>47.32</v>
      </c>
      <c r="G178" s="56">
        <v>1</v>
      </c>
      <c r="H178" s="2">
        <f t="shared" ref="H178:H179" si="487">+H177</f>
        <v>47.14</v>
      </c>
      <c r="I178" s="2">
        <f t="shared" ref="I178:I179" si="488">+I177</f>
        <v>80</v>
      </c>
      <c r="J178" s="18">
        <f t="shared" si="473"/>
        <v>2.2499999999999964E-3</v>
      </c>
      <c r="K178" s="2">
        <f t="shared" ref="K178:K179" si="489">+K177</f>
        <v>948</v>
      </c>
      <c r="L178" s="15">
        <f t="shared" si="474"/>
        <v>13.275700000000001</v>
      </c>
      <c r="M178" s="33">
        <f t="shared" si="475"/>
        <v>1.32757E-2</v>
      </c>
      <c r="N178" s="33">
        <f t="shared" si="385"/>
        <v>0.1707924255640231</v>
      </c>
      <c r="O178" s="33">
        <f t="shared" si="386"/>
        <v>6.7241112426780756</v>
      </c>
      <c r="P178" s="58">
        <f t="shared" si="387"/>
        <v>8</v>
      </c>
      <c r="Q178" s="55">
        <f>IF(O178&gt;0,VLOOKUP(P178,'$ alcantarillado'!$I$5:$L$22,4,FALSE),"0")</f>
        <v>0.182</v>
      </c>
      <c r="R178" s="55">
        <f t="shared" si="388"/>
        <v>1.5727686634536414E-2</v>
      </c>
      <c r="S178" s="35">
        <f t="shared" si="389"/>
        <v>0.84409743838918438</v>
      </c>
      <c r="T178" s="58">
        <f>+IF(S178&gt;$B$13,VLOOKUP(P178,'$ alcantarillado'!$I$6:$N$22,5),P178)</f>
        <v>8</v>
      </c>
      <c r="U178" s="55">
        <f>IF(O178&gt;0,VLOOKUP(T178,'$ alcantarillado'!$I$5:$L$22,4),"0")</f>
        <v>0.182</v>
      </c>
      <c r="V178" s="55">
        <f t="shared" si="390"/>
        <v>1.5727686634536414E-2</v>
      </c>
      <c r="W178" s="35">
        <f t="shared" si="391"/>
        <v>0.84409743838918438</v>
      </c>
      <c r="X178" s="35">
        <f t="shared" si="476"/>
        <v>0.60454995079985652</v>
      </c>
      <c r="Y178" s="55">
        <f>IF(T178&gt;0,(VLOOKUP($W178,Relaciones!$A$4:$D$108,2)),"")</f>
        <v>0.997</v>
      </c>
      <c r="Z178" s="35">
        <f t="shared" si="477"/>
        <v>0.60273630094745689</v>
      </c>
      <c r="AA178" s="35">
        <f t="shared" si="478"/>
        <v>0.10237499999999984</v>
      </c>
      <c r="AB178" s="46" t="str">
        <f t="shared" si="479"/>
        <v>OK</v>
      </c>
      <c r="AC178" s="46" t="str">
        <f t="shared" si="480"/>
        <v>OK</v>
      </c>
      <c r="AD178" s="46" t="str">
        <f t="shared" si="481"/>
        <v>No Cumple</v>
      </c>
      <c r="AE178" s="48">
        <f t="shared" si="482"/>
        <v>1</v>
      </c>
      <c r="AF178" s="48">
        <f t="shared" si="482"/>
        <v>1</v>
      </c>
      <c r="AG178" s="48">
        <f t="shared" si="482"/>
        <v>0</v>
      </c>
      <c r="AH178" s="48">
        <f t="shared" si="483"/>
        <v>2</v>
      </c>
      <c r="AI178" s="46">
        <f t="shared" si="484"/>
        <v>0</v>
      </c>
      <c r="AJ178" s="20">
        <f>IF(AI178&gt;0,I178*VLOOKUP(T178,'$ alcantarillado'!$I$6:$K$22,3),0)</f>
        <v>0</v>
      </c>
      <c r="AK178" s="20">
        <f t="shared" si="471"/>
        <v>0</v>
      </c>
      <c r="AL178" s="20">
        <f t="shared" si="472"/>
        <v>0</v>
      </c>
      <c r="AM178" s="20">
        <f t="shared" si="485"/>
        <v>0</v>
      </c>
      <c r="AN178" s="80">
        <f>+AP161</f>
        <v>5900568.248666672</v>
      </c>
      <c r="AO178" s="78" t="str">
        <f t="shared" si="486"/>
        <v/>
      </c>
      <c r="AP178" s="215"/>
      <c r="AQ178" s="2"/>
      <c r="AR178" s="9"/>
    </row>
    <row r="179" spans="1:44" x14ac:dyDescent="0.25">
      <c r="A179" s="211"/>
      <c r="B179" s="211"/>
      <c r="C179" s="211"/>
      <c r="D179" s="211"/>
      <c r="E179" s="56">
        <v>4</v>
      </c>
      <c r="F179" s="2">
        <f>+H166</f>
        <v>47.195</v>
      </c>
      <c r="G179" s="56">
        <v>1</v>
      </c>
      <c r="H179" s="2">
        <f t="shared" si="487"/>
        <v>47.14</v>
      </c>
      <c r="I179" s="2">
        <f t="shared" si="488"/>
        <v>80</v>
      </c>
      <c r="J179" s="18">
        <f>+(F179-H179)/I179</f>
        <v>6.8749999999999649E-4</v>
      </c>
      <c r="K179" s="2">
        <f t="shared" si="489"/>
        <v>948</v>
      </c>
      <c r="L179" s="15">
        <f t="shared" si="474"/>
        <v>13.275700000000001</v>
      </c>
      <c r="M179" s="33">
        <f t="shared" si="475"/>
        <v>1.32757E-2</v>
      </c>
      <c r="N179" s="33">
        <f t="shared" si="385"/>
        <v>0.2133114641997132</v>
      </c>
      <c r="O179" s="33">
        <f t="shared" si="386"/>
        <v>8.3980891417209929</v>
      </c>
      <c r="P179" s="58">
        <f t="shared" si="387"/>
        <v>10</v>
      </c>
      <c r="Q179" s="55">
        <f>IF(O179&gt;0,VLOOKUP(P179,'$ alcantarillado'!$I$5:$L$22,4,FALSE),"0")</f>
        <v>0.22700000000000001</v>
      </c>
      <c r="R179" s="55">
        <f t="shared" si="388"/>
        <v>1.5670704607542094E-2</v>
      </c>
      <c r="S179" s="35">
        <f t="shared" si="389"/>
        <v>0.84716675685473575</v>
      </c>
      <c r="T179" s="58">
        <f>+IF(S179&gt;$B$13,VLOOKUP(P179,'$ alcantarillado'!$I$6:$N$22,5),P179)</f>
        <v>10</v>
      </c>
      <c r="U179" s="55">
        <f>IF(O179&gt;0,VLOOKUP(T179,'$ alcantarillado'!$I$5:$L$22,4),"0")</f>
        <v>0.22700000000000001</v>
      </c>
      <c r="V179" s="55">
        <f t="shared" si="390"/>
        <v>1.5670704607542094E-2</v>
      </c>
      <c r="W179" s="35">
        <f t="shared" si="391"/>
        <v>0.84716675685473575</v>
      </c>
      <c r="X179" s="35">
        <f t="shared" si="476"/>
        <v>0.38721032428702501</v>
      </c>
      <c r="Y179" s="55">
        <f>IF(T179&gt;0,(VLOOKUP($W179,Relaciones!$A$4:$D$108,2)),"")</f>
        <v>0.997</v>
      </c>
      <c r="Z179" s="35">
        <f t="shared" si="477"/>
        <v>0.38604869331416392</v>
      </c>
      <c r="AA179" s="35">
        <f t="shared" si="478"/>
        <v>3.9015624999999804E-2</v>
      </c>
      <c r="AB179" s="46" t="str">
        <f t="shared" si="479"/>
        <v>OK</v>
      </c>
      <c r="AC179" s="46" t="str">
        <f t="shared" si="480"/>
        <v>No Cumple</v>
      </c>
      <c r="AD179" s="46" t="str">
        <f t="shared" si="481"/>
        <v>No Cumple</v>
      </c>
      <c r="AE179" s="48">
        <f t="shared" si="482"/>
        <v>1</v>
      </c>
      <c r="AF179" s="48">
        <f t="shared" si="482"/>
        <v>0</v>
      </c>
      <c r="AG179" s="48">
        <f t="shared" si="482"/>
        <v>0</v>
      </c>
      <c r="AH179" s="48">
        <f t="shared" si="483"/>
        <v>1</v>
      </c>
      <c r="AI179" s="46">
        <f t="shared" si="484"/>
        <v>0</v>
      </c>
      <c r="AJ179" s="20">
        <f>IF(AI179&gt;0,I179*VLOOKUP(T179,'$ alcantarillado'!$I$6:$K$22,3),0)</f>
        <v>0</v>
      </c>
      <c r="AK179" s="20">
        <f t="shared" si="471"/>
        <v>0</v>
      </c>
      <c r="AL179" s="20">
        <f t="shared" si="472"/>
        <v>0</v>
      </c>
      <c r="AM179" s="20">
        <f t="shared" si="485"/>
        <v>0</v>
      </c>
      <c r="AN179" s="80">
        <f>+AP166</f>
        <v>5961948.248666672</v>
      </c>
      <c r="AO179" s="78" t="str">
        <f t="shared" si="486"/>
        <v/>
      </c>
      <c r="AP179" s="215"/>
      <c r="AQ179" s="2"/>
      <c r="AR179" s="9"/>
    </row>
    <row r="180" spans="1:44" ht="15.75" thickBot="1" x14ac:dyDescent="0.3">
      <c r="A180" s="211"/>
      <c r="B180" s="211"/>
      <c r="C180" s="211"/>
      <c r="D180" s="211"/>
      <c r="E180" s="6">
        <v>5</v>
      </c>
      <c r="F180" s="16">
        <f>+H171</f>
        <v>47.07</v>
      </c>
      <c r="G180" s="6">
        <v>1</v>
      </c>
      <c r="H180" s="10">
        <f>+H179</f>
        <v>47.14</v>
      </c>
      <c r="I180" s="10">
        <f>+I179</f>
        <v>80</v>
      </c>
      <c r="J180" s="19">
        <f t="shared" si="473"/>
        <v>-8.750000000000036E-4</v>
      </c>
      <c r="K180" s="10">
        <f>+K179</f>
        <v>948</v>
      </c>
      <c r="L180" s="16">
        <f t="shared" si="474"/>
        <v>13.275700000000001</v>
      </c>
      <c r="M180" s="34">
        <f t="shared" si="475"/>
        <v>1.32757E-2</v>
      </c>
      <c r="N180" s="34">
        <f t="shared" si="385"/>
        <v>0</v>
      </c>
      <c r="O180" s="34">
        <f t="shared" si="386"/>
        <v>0</v>
      </c>
      <c r="P180" s="59">
        <f t="shared" si="387"/>
        <v>0</v>
      </c>
      <c r="Q180" s="55" t="str">
        <f>IF(O180&gt;0,VLOOKUP(P180,'$ alcantarillado'!$I$5:$L$22,4,FALSE),"0")</f>
        <v>0</v>
      </c>
      <c r="R180" s="55" t="str">
        <f t="shared" si="388"/>
        <v/>
      </c>
      <c r="S180" s="35">
        <f t="shared" si="389"/>
        <v>0</v>
      </c>
      <c r="T180" s="58">
        <f>+IF(S180&gt;$B$13,VLOOKUP(P180,'$ alcantarillado'!$I$6:$N$22,5),P180)</f>
        <v>0</v>
      </c>
      <c r="U180" s="55" t="str">
        <f>IF(O180&gt;0,VLOOKUP(T180,'$ alcantarillado'!$I$5:$L$22,4),"0")</f>
        <v>0</v>
      </c>
      <c r="V180" s="55" t="str">
        <f t="shared" si="390"/>
        <v/>
      </c>
      <c r="W180" s="35">
        <f t="shared" si="391"/>
        <v>0</v>
      </c>
      <c r="X180" s="35" t="str">
        <f t="shared" si="476"/>
        <v/>
      </c>
      <c r="Y180" s="55" t="str">
        <f>IF(T180&gt;0,(VLOOKUP($W180,Relaciones!$A$4:$D$108,2)),"")</f>
        <v/>
      </c>
      <c r="Z180" s="35" t="str">
        <f t="shared" si="477"/>
        <v/>
      </c>
      <c r="AA180" s="35" t="str">
        <f t="shared" si="478"/>
        <v/>
      </c>
      <c r="AB180" s="46" t="str">
        <f t="shared" si="479"/>
        <v/>
      </c>
      <c r="AC180" s="46" t="str">
        <f t="shared" si="480"/>
        <v/>
      </c>
      <c r="AD180" s="46" t="str">
        <f t="shared" si="481"/>
        <v/>
      </c>
      <c r="AE180" s="48">
        <f t="shared" si="482"/>
        <v>0</v>
      </c>
      <c r="AF180" s="48">
        <f t="shared" si="482"/>
        <v>0</v>
      </c>
      <c r="AG180" s="48">
        <f t="shared" si="482"/>
        <v>0</v>
      </c>
      <c r="AH180" s="48">
        <f t="shared" si="483"/>
        <v>0</v>
      </c>
      <c r="AI180" s="46">
        <f t="shared" si="484"/>
        <v>0</v>
      </c>
      <c r="AJ180" s="22">
        <f>IF(AI180&gt;0,I180*VLOOKUP(T180,'$ alcantarillado'!$I$6:$K$22,3),0)</f>
        <v>0</v>
      </c>
      <c r="AK180" s="20">
        <f t="shared" si="471"/>
        <v>0</v>
      </c>
      <c r="AL180" s="20">
        <f t="shared" si="472"/>
        <v>0</v>
      </c>
      <c r="AM180" s="22">
        <f t="shared" si="485"/>
        <v>0</v>
      </c>
      <c r="AN180" s="80">
        <f>+AP171</f>
        <v>6023328.248666672</v>
      </c>
      <c r="AO180" s="79" t="str">
        <f t="shared" si="486"/>
        <v/>
      </c>
      <c r="AP180" s="216"/>
      <c r="AQ180" s="10"/>
      <c r="AR180" s="11"/>
    </row>
    <row r="181" spans="1:44" x14ac:dyDescent="0.25">
      <c r="A181" s="211"/>
      <c r="B181" s="211"/>
      <c r="C181" s="211"/>
      <c r="D181" s="211"/>
      <c r="E181" s="4">
        <v>1</v>
      </c>
      <c r="F181" s="7">
        <f>+H151</f>
        <v>47.57</v>
      </c>
      <c r="G181" s="4">
        <v>2</v>
      </c>
      <c r="H181" s="35">
        <f>+H186+$B$15</f>
        <v>47.015000000000001</v>
      </c>
      <c r="I181" s="2">
        <f>+I180</f>
        <v>80</v>
      </c>
      <c r="J181" s="18">
        <f>+(F181-H181)/I181</f>
        <v>6.9374999999999966E-3</v>
      </c>
      <c r="K181" s="2">
        <f>+K180</f>
        <v>948</v>
      </c>
      <c r="L181" s="14">
        <f>IF(K181&lt;38,K181^0.3686*0.7401,IF(K181&lt;235,K181^0.4193*0.6215,IF(K181&lt;932,K181*0.0092+4.2493,K181*0.0069+6.7345)))</f>
        <v>13.275700000000001</v>
      </c>
      <c r="M181" s="31">
        <f>+L181/1000</f>
        <v>1.32757E-2</v>
      </c>
      <c r="N181" s="31">
        <f t="shared" si="385"/>
        <v>0.13828569818226932</v>
      </c>
      <c r="O181" s="31">
        <f t="shared" si="386"/>
        <v>5.4443188260735953</v>
      </c>
      <c r="P181" s="57">
        <f t="shared" si="387"/>
        <v>6</v>
      </c>
      <c r="Q181" s="60">
        <f>IF(O181&gt;0,VLOOKUP(P181,'$ alcantarillado'!$I$5:$L$22,4,FALSE),"0")</f>
        <v>0.14499999999999999</v>
      </c>
      <c r="R181" s="60">
        <f t="shared" si="388"/>
        <v>1.5064893223453581E-2</v>
      </c>
      <c r="S181" s="27">
        <f t="shared" si="389"/>
        <v>0.88123425789250864</v>
      </c>
      <c r="T181" s="57">
        <f>+IF(S181&gt;$B$13,VLOOKUP(P181,'$ alcantarillado'!$I$6:$N$22,5),P181)</f>
        <v>8</v>
      </c>
      <c r="U181" s="60">
        <f>IF(O181&gt;0,VLOOKUP(T181,'$ alcantarillado'!$I$5:$L$22,4),"0")</f>
        <v>0.182</v>
      </c>
      <c r="V181" s="60">
        <f t="shared" si="390"/>
        <v>2.7616910119140928E-2</v>
      </c>
      <c r="W181" s="27">
        <f t="shared" si="391"/>
        <v>0.48070909970477765</v>
      </c>
      <c r="X181" s="27">
        <f>IF(T181&gt;0,4*V181/(PI()*(U181)^2),"")</f>
        <v>1.0615548263219086</v>
      </c>
      <c r="Y181" s="60">
        <f>IF(T181&gt;0,(VLOOKUP($W181,Relaciones!$A$4:$D$108,2)),"")</f>
        <v>0.84</v>
      </c>
      <c r="Z181" s="27">
        <f>IF(T181&gt;0,Y181*X181,"")</f>
        <v>0.89170605411040316</v>
      </c>
      <c r="AA181" s="27">
        <f>IF(T181&gt;0,250*U181*J181,"")</f>
        <v>0.31565624999999986</v>
      </c>
      <c r="AB181" s="45" t="str">
        <f>IF(T181&gt;0,IF(W181&lt;=$B$13,"OK","No Cumple"),"")</f>
        <v>OK</v>
      </c>
      <c r="AC181" s="45" t="str">
        <f>IF(T181&gt;0,IF(Z181&gt;=$B$12,"OK","No Cumple"),"")</f>
        <v>OK</v>
      </c>
      <c r="AD181" s="45" t="str">
        <f>IF(T181&gt;0,IF(AA181&gt;$B$14,"OK","No Cumple"),"")</f>
        <v>OK</v>
      </c>
      <c r="AE181" s="32">
        <f>+IF(AB181="OK",1,0)</f>
        <v>1</v>
      </c>
      <c r="AF181" s="32">
        <f>+IF(AC181="OK",1,0)</f>
        <v>1</v>
      </c>
      <c r="AG181" s="32">
        <f>+IF(AD181="OK",1,0)</f>
        <v>1</v>
      </c>
      <c r="AH181" s="32">
        <f>SUM(AE181:AG181)</f>
        <v>3</v>
      </c>
      <c r="AI181" s="45">
        <f>IF(AH181=3,2*$B$7+U181,0)</f>
        <v>0.68199999999999994</v>
      </c>
      <c r="AJ181" s="21">
        <f>IF(AI181&gt;0,I181*VLOOKUP(T181,'$ alcantarillado'!$I$6:$K$22,3),0)</f>
        <v>2654586.666666667</v>
      </c>
      <c r="AK181" s="61">
        <f t="shared" si="471"/>
        <v>2711031.840000004</v>
      </c>
      <c r="AL181" s="61">
        <f t="shared" si="472"/>
        <v>1139104.9920000019</v>
      </c>
      <c r="AM181" s="21">
        <f>IF(AJ181&gt;0,AJ181+AK181+AL181,0)</f>
        <v>6504723.4986666739</v>
      </c>
      <c r="AN181" s="81">
        <f>IF(AP151&gt;0,+AP151,0)</f>
        <v>0</v>
      </c>
      <c r="AO181" s="77" t="str">
        <f>IF((AM181)&gt;0,IF(AN181&gt;0,AM181+AN181,""),"")</f>
        <v/>
      </c>
      <c r="AP181" s="221">
        <f>+MIN(AO181:AO185)</f>
        <v>12825306.997333344</v>
      </c>
      <c r="AQ181" s="2"/>
      <c r="AR181" s="9"/>
    </row>
    <row r="182" spans="1:44" x14ac:dyDescent="0.25">
      <c r="A182" s="211"/>
      <c r="B182" s="211"/>
      <c r="C182" s="211"/>
      <c r="D182" s="211"/>
      <c r="E182" s="5">
        <v>2</v>
      </c>
      <c r="F182" s="2">
        <f>+H156</f>
        <v>47.445</v>
      </c>
      <c r="G182" s="5">
        <v>2</v>
      </c>
      <c r="H182" s="35">
        <f>+H181</f>
        <v>47.015000000000001</v>
      </c>
      <c r="I182" s="2">
        <f>+I181</f>
        <v>80</v>
      </c>
      <c r="J182" s="18">
        <f t="shared" si="473"/>
        <v>5.3749999999999961E-3</v>
      </c>
      <c r="K182" s="2">
        <f>+K181</f>
        <v>948</v>
      </c>
      <c r="L182" s="15">
        <f t="shared" si="474"/>
        <v>13.275700000000001</v>
      </c>
      <c r="M182" s="33">
        <f t="shared" ref="M182:M185" si="490">+L182/1000</f>
        <v>1.32757E-2</v>
      </c>
      <c r="N182" s="33">
        <f t="shared" si="385"/>
        <v>0.1450630704499157</v>
      </c>
      <c r="O182" s="33">
        <f t="shared" si="386"/>
        <v>5.711144505902193</v>
      </c>
      <c r="P182" s="58">
        <f t="shared" si="387"/>
        <v>6</v>
      </c>
      <c r="Q182" s="55">
        <f>IF(O182&gt;0,VLOOKUP(P182,'$ alcantarillado'!$I$5:$L$22,4,FALSE),"0")</f>
        <v>0.14499999999999999</v>
      </c>
      <c r="R182" s="55">
        <f t="shared" si="388"/>
        <v>1.3260313570181519E-2</v>
      </c>
      <c r="S182" s="35">
        <f t="shared" si="389"/>
        <v>1.0011603368002608</v>
      </c>
      <c r="T182" s="58">
        <f>+IF(S182&gt;$B$13,VLOOKUP(P182,'$ alcantarillado'!$I$6:$N$22,5),P182)</f>
        <v>8</v>
      </c>
      <c r="U182" s="55">
        <f>IF(O182&gt;0,VLOOKUP(T182,'$ alcantarillado'!$I$5:$L$22,4),"0")</f>
        <v>0.182</v>
      </c>
      <c r="V182" s="55">
        <f t="shared" si="390"/>
        <v>2.4308760944232927E-2</v>
      </c>
      <c r="W182" s="35">
        <f t="shared" si="391"/>
        <v>0.54612820581254518</v>
      </c>
      <c r="X182" s="35">
        <f t="shared" ref="X182:X185" si="491">IF(T182&gt;0,4*V182/(PI()*(U182)^2),"")</f>
        <v>0.9343942675314284</v>
      </c>
      <c r="Y182" s="55">
        <f>IF(T182&gt;0,(VLOOKUP($W182,Relaciones!$A$4:$D$108,2)),"")</f>
        <v>0.87</v>
      </c>
      <c r="Z182" s="35">
        <f t="shared" ref="Z182:Z185" si="492">IF(T182&gt;0,Y182*X182,"")</f>
        <v>0.81292301275234269</v>
      </c>
      <c r="AA182" s="35">
        <f t="shared" ref="AA182:AA185" si="493">IF(T182&gt;0,250*U182*J182,"")</f>
        <v>0.24456249999999982</v>
      </c>
      <c r="AB182" s="46" t="str">
        <f t="shared" ref="AB182:AB185" si="494">IF(T182&gt;0,IF(W182&lt;=$B$13,"OK","No Cumple"),"")</f>
        <v>OK</v>
      </c>
      <c r="AC182" s="46" t="str">
        <f t="shared" ref="AC182:AC185" si="495">IF(T182&gt;0,IF(Z182&gt;=$B$12,"OK","No Cumple"),"")</f>
        <v>OK</v>
      </c>
      <c r="AD182" s="46" t="str">
        <f t="shared" ref="AD182:AD185" si="496">IF(T182&gt;0,IF(AA182&gt;$B$14,"OK","No Cumple"),"")</f>
        <v>OK</v>
      </c>
      <c r="AE182" s="48">
        <f t="shared" ref="AE182:AG185" si="497">+IF(AB182="OK",1,0)</f>
        <v>1</v>
      </c>
      <c r="AF182" s="48">
        <f t="shared" si="497"/>
        <v>1</v>
      </c>
      <c r="AG182" s="48">
        <f t="shared" si="497"/>
        <v>1</v>
      </c>
      <c r="AH182" s="48">
        <f t="shared" ref="AH182:AH185" si="498">SUM(AE182:AG182)</f>
        <v>3</v>
      </c>
      <c r="AI182" s="46">
        <f t="shared" ref="AI182:AI185" si="499">IF(AH182=3,2*$B$7+U182,0)</f>
        <v>0.68199999999999994</v>
      </c>
      <c r="AJ182" s="20">
        <f>IF(AI182&gt;0,I182*VLOOKUP(T182,'$ alcantarillado'!$I$6:$K$22,3),0)</f>
        <v>2654586.666666667</v>
      </c>
      <c r="AK182" s="20">
        <f t="shared" si="471"/>
        <v>2833791.8400000036</v>
      </c>
      <c r="AL182" s="20">
        <f t="shared" si="472"/>
        <v>1226352.6170000019</v>
      </c>
      <c r="AM182" s="20">
        <f t="shared" si="485"/>
        <v>6714731.123666672</v>
      </c>
      <c r="AN182" s="80">
        <f>+AP156</f>
        <v>0</v>
      </c>
      <c r="AO182" s="78" t="str">
        <f t="shared" ref="AO182:AO185" si="500">IF((AM182)&gt;0,IF(AN182&gt;0,AM182+AN182,""),"")</f>
        <v/>
      </c>
      <c r="AP182" s="222"/>
      <c r="AQ182" s="2">
        <v>3</v>
      </c>
      <c r="AR182" s="9">
        <v>2</v>
      </c>
    </row>
    <row r="183" spans="1:44" x14ac:dyDescent="0.25">
      <c r="A183" s="211"/>
      <c r="B183" s="211"/>
      <c r="C183" s="211"/>
      <c r="D183" s="211"/>
      <c r="E183" s="56">
        <v>3</v>
      </c>
      <c r="F183" s="2">
        <f>+H161</f>
        <v>47.32</v>
      </c>
      <c r="G183" s="56">
        <v>2</v>
      </c>
      <c r="H183" s="35">
        <f t="shared" ref="H183:H184" si="501">+H182</f>
        <v>47.015000000000001</v>
      </c>
      <c r="I183" s="2">
        <f t="shared" ref="I183:I184" si="502">+I182</f>
        <v>80</v>
      </c>
      <c r="J183" s="18">
        <f t="shared" si="473"/>
        <v>3.8124999999999964E-3</v>
      </c>
      <c r="K183" s="2">
        <f t="shared" ref="K183:K184" si="503">+K182</f>
        <v>948</v>
      </c>
      <c r="L183" s="15">
        <f t="shared" si="474"/>
        <v>13.275700000000001</v>
      </c>
      <c r="M183" s="33">
        <f t="shared" si="490"/>
        <v>1.32757E-2</v>
      </c>
      <c r="N183" s="33">
        <f t="shared" si="385"/>
        <v>0.15471270563132869</v>
      </c>
      <c r="O183" s="33">
        <f t="shared" si="386"/>
        <v>6.0910514028082163</v>
      </c>
      <c r="P183" s="58">
        <f t="shared" si="387"/>
        <v>8</v>
      </c>
      <c r="Q183" s="55">
        <f>IF(O183&gt;0,VLOOKUP(P183,'$ alcantarillado'!$I$5:$L$22,4,FALSE),"0")</f>
        <v>0.182</v>
      </c>
      <c r="R183" s="55">
        <f t="shared" si="388"/>
        <v>2.0472859906691582E-2</v>
      </c>
      <c r="S183" s="35">
        <f t="shared" si="389"/>
        <v>0.64845361422420611</v>
      </c>
      <c r="T183" s="58">
        <f>+IF(S183&gt;$B$13,VLOOKUP(P183,'$ alcantarillado'!$I$6:$N$22,5),P183)</f>
        <v>8</v>
      </c>
      <c r="U183" s="55">
        <f>IF(O183&gt;0,VLOOKUP(T183,'$ alcantarillado'!$I$5:$L$22,4),"0")</f>
        <v>0.182</v>
      </c>
      <c r="V183" s="55">
        <f t="shared" si="390"/>
        <v>2.0472859906691582E-2</v>
      </c>
      <c r="W183" s="35">
        <f t="shared" ref="W183:W200" si="504">IF(T183&gt;0,M183/V183,0)</f>
        <v>0.64845361422420611</v>
      </c>
      <c r="X183" s="35">
        <f t="shared" si="491"/>
        <v>0.78694767621732742</v>
      </c>
      <c r="Y183" s="55">
        <f>IF(T183&gt;0,(VLOOKUP($W183,Relaciones!$A$4:$D$108,2)),"")</f>
        <v>0.91800000000000004</v>
      </c>
      <c r="Z183" s="35">
        <f t="shared" si="492"/>
        <v>0.72241796676750658</v>
      </c>
      <c r="AA183" s="35">
        <f t="shared" si="493"/>
        <v>0.17346874999999984</v>
      </c>
      <c r="AB183" s="46" t="str">
        <f t="shared" si="494"/>
        <v>OK</v>
      </c>
      <c r="AC183" s="46" t="str">
        <f t="shared" si="495"/>
        <v>OK</v>
      </c>
      <c r="AD183" s="46" t="str">
        <f t="shared" si="496"/>
        <v>OK</v>
      </c>
      <c r="AE183" s="48">
        <f t="shared" si="497"/>
        <v>1</v>
      </c>
      <c r="AF183" s="48">
        <f t="shared" si="497"/>
        <v>1</v>
      </c>
      <c r="AG183" s="48">
        <f t="shared" si="497"/>
        <v>1</v>
      </c>
      <c r="AH183" s="48">
        <f t="shared" si="498"/>
        <v>3</v>
      </c>
      <c r="AI183" s="46">
        <f t="shared" si="499"/>
        <v>0.68199999999999994</v>
      </c>
      <c r="AJ183" s="20">
        <f>IF(AI183&gt;0,I183*VLOOKUP(T183,'$ alcantarillado'!$I$6:$K$22,3),0)</f>
        <v>2654586.666666667</v>
      </c>
      <c r="AK183" s="20">
        <f t="shared" si="471"/>
        <v>2956551.8400000036</v>
      </c>
      <c r="AL183" s="20">
        <f t="shared" si="472"/>
        <v>1313600.2420000019</v>
      </c>
      <c r="AM183" s="20">
        <f t="shared" si="485"/>
        <v>6924738.748666672</v>
      </c>
      <c r="AN183" s="80">
        <f>+AP161</f>
        <v>5900568.248666672</v>
      </c>
      <c r="AO183" s="66">
        <f t="shared" si="500"/>
        <v>12825306.997333344</v>
      </c>
      <c r="AP183" s="223"/>
      <c r="AQ183" s="2"/>
      <c r="AR183" s="9"/>
    </row>
    <row r="184" spans="1:44" x14ac:dyDescent="0.25">
      <c r="A184" s="211"/>
      <c r="B184" s="211"/>
      <c r="C184" s="211"/>
      <c r="D184" s="211"/>
      <c r="E184" s="56">
        <v>4</v>
      </c>
      <c r="F184" s="2">
        <f>+H166</f>
        <v>47.195</v>
      </c>
      <c r="G184" s="56">
        <v>2</v>
      </c>
      <c r="H184" s="35">
        <f t="shared" si="501"/>
        <v>47.015000000000001</v>
      </c>
      <c r="I184" s="2">
        <f t="shared" si="502"/>
        <v>80</v>
      </c>
      <c r="J184" s="18">
        <f>+(F184-H184)/I184</f>
        <v>2.2499999999999964E-3</v>
      </c>
      <c r="K184" s="2">
        <f t="shared" si="503"/>
        <v>948</v>
      </c>
      <c r="L184" s="15">
        <f t="shared" si="474"/>
        <v>13.275700000000001</v>
      </c>
      <c r="M184" s="33">
        <f t="shared" si="490"/>
        <v>1.32757E-2</v>
      </c>
      <c r="N184" s="33">
        <f t="shared" si="385"/>
        <v>0.1707924255640231</v>
      </c>
      <c r="O184" s="33">
        <f t="shared" si="386"/>
        <v>6.7241112426780756</v>
      </c>
      <c r="P184" s="58">
        <f t="shared" si="387"/>
        <v>8</v>
      </c>
      <c r="Q184" s="55">
        <f>IF(O184&gt;0,VLOOKUP(P184,'$ alcantarillado'!$I$5:$L$22,4,FALSE),"0")</f>
        <v>0.182</v>
      </c>
      <c r="R184" s="55">
        <f t="shared" si="388"/>
        <v>1.5727686634536414E-2</v>
      </c>
      <c r="S184" s="35">
        <f t="shared" si="389"/>
        <v>0.84409743838918438</v>
      </c>
      <c r="T184" s="58">
        <f>+IF(S184&gt;$B$13,VLOOKUP(P184,'$ alcantarillado'!$I$6:$N$22,5),P184)</f>
        <v>8</v>
      </c>
      <c r="U184" s="55">
        <f>IF(O184&gt;0,VLOOKUP(T184,'$ alcantarillado'!$I$5:$L$22,4),"0")</f>
        <v>0.182</v>
      </c>
      <c r="V184" s="55">
        <f t="shared" si="390"/>
        <v>1.5727686634536414E-2</v>
      </c>
      <c r="W184" s="35">
        <f t="shared" si="504"/>
        <v>0.84409743838918438</v>
      </c>
      <c r="X184" s="35">
        <f t="shared" si="491"/>
        <v>0.60454995079985652</v>
      </c>
      <c r="Y184" s="55">
        <f>IF(T184&gt;0,(VLOOKUP($W184,Relaciones!$A$4:$D$108,2)),"")</f>
        <v>0.997</v>
      </c>
      <c r="Z184" s="35">
        <f t="shared" si="492"/>
        <v>0.60273630094745689</v>
      </c>
      <c r="AA184" s="35">
        <f t="shared" si="493"/>
        <v>0.10237499999999984</v>
      </c>
      <c r="AB184" s="46" t="str">
        <f t="shared" si="494"/>
        <v>OK</v>
      </c>
      <c r="AC184" s="46" t="str">
        <f t="shared" si="495"/>
        <v>OK</v>
      </c>
      <c r="AD184" s="46" t="str">
        <f t="shared" si="496"/>
        <v>No Cumple</v>
      </c>
      <c r="AE184" s="48">
        <f t="shared" si="497"/>
        <v>1</v>
      </c>
      <c r="AF184" s="48">
        <f t="shared" si="497"/>
        <v>1</v>
      </c>
      <c r="AG184" s="48">
        <f t="shared" si="497"/>
        <v>0</v>
      </c>
      <c r="AH184" s="48">
        <f t="shared" si="498"/>
        <v>2</v>
      </c>
      <c r="AI184" s="46">
        <f t="shared" si="499"/>
        <v>0</v>
      </c>
      <c r="AJ184" s="20">
        <f>IF(AI184&gt;0,I184*VLOOKUP(T184,'$ alcantarillado'!$I$6:$K$22,3),0)</f>
        <v>0</v>
      </c>
      <c r="AK184" s="20">
        <f t="shared" si="471"/>
        <v>0</v>
      </c>
      <c r="AL184" s="20">
        <f t="shared" si="472"/>
        <v>0</v>
      </c>
      <c r="AM184" s="20">
        <f t="shared" si="485"/>
        <v>0</v>
      </c>
      <c r="AN184" s="80">
        <f>+AP166</f>
        <v>5961948.248666672</v>
      </c>
      <c r="AO184" s="78" t="str">
        <f t="shared" si="500"/>
        <v/>
      </c>
      <c r="AP184" s="223"/>
      <c r="AQ184" s="2"/>
      <c r="AR184" s="9"/>
    </row>
    <row r="185" spans="1:44" ht="15.75" thickBot="1" x14ac:dyDescent="0.3">
      <c r="A185" s="211"/>
      <c r="B185" s="211"/>
      <c r="C185" s="211"/>
      <c r="D185" s="211"/>
      <c r="E185" s="6">
        <v>5</v>
      </c>
      <c r="F185" s="16">
        <f>+H171</f>
        <v>47.07</v>
      </c>
      <c r="G185" s="6">
        <v>2</v>
      </c>
      <c r="H185" s="65">
        <f>+H184</f>
        <v>47.015000000000001</v>
      </c>
      <c r="I185" s="10">
        <f>+I184</f>
        <v>80</v>
      </c>
      <c r="J185" s="19">
        <f t="shared" si="473"/>
        <v>6.8749999999999649E-4</v>
      </c>
      <c r="K185" s="10">
        <f>+K184</f>
        <v>948</v>
      </c>
      <c r="L185" s="16">
        <f t="shared" si="474"/>
        <v>13.275700000000001</v>
      </c>
      <c r="M185" s="34">
        <f t="shared" si="490"/>
        <v>1.32757E-2</v>
      </c>
      <c r="N185" s="34">
        <f t="shared" si="385"/>
        <v>0.2133114641997132</v>
      </c>
      <c r="O185" s="34">
        <f t="shared" si="386"/>
        <v>8.3980891417209929</v>
      </c>
      <c r="P185" s="59">
        <f t="shared" si="387"/>
        <v>10</v>
      </c>
      <c r="Q185" s="55">
        <f>IF(O185&gt;0,VLOOKUP(P185,'$ alcantarillado'!$I$5:$L$22,4,FALSE),"0")</f>
        <v>0.22700000000000001</v>
      </c>
      <c r="R185" s="47">
        <f t="shared" si="388"/>
        <v>1.5670704607542094E-2</v>
      </c>
      <c r="S185" s="35">
        <f t="shared" si="389"/>
        <v>0.84716675685473575</v>
      </c>
      <c r="T185" s="58">
        <f>+IF(S185&gt;$B$13,VLOOKUP(P185,'$ alcantarillado'!$I$6:$N$22,5),P185)</f>
        <v>10</v>
      </c>
      <c r="U185" s="55">
        <f>IF(O185&gt;0,VLOOKUP(T185,'$ alcantarillado'!$I$5:$L$22,4),"0")</f>
        <v>0.22700000000000001</v>
      </c>
      <c r="V185" s="55">
        <f t="shared" si="390"/>
        <v>1.5670704607542094E-2</v>
      </c>
      <c r="W185" s="35">
        <f t="shared" si="504"/>
        <v>0.84716675685473575</v>
      </c>
      <c r="X185" s="35">
        <f t="shared" si="491"/>
        <v>0.38721032428702501</v>
      </c>
      <c r="Y185" s="55">
        <f>IF(T185&gt;0,(VLOOKUP($W185,Relaciones!$A$4:$D$108,2)),"")</f>
        <v>0.997</v>
      </c>
      <c r="Z185" s="35">
        <f t="shared" si="492"/>
        <v>0.38604869331416392</v>
      </c>
      <c r="AA185" s="35">
        <f t="shared" si="493"/>
        <v>3.9015624999999804E-2</v>
      </c>
      <c r="AB185" s="46" t="str">
        <f t="shared" si="494"/>
        <v>OK</v>
      </c>
      <c r="AC185" s="46" t="str">
        <f t="shared" si="495"/>
        <v>No Cumple</v>
      </c>
      <c r="AD185" s="46" t="str">
        <f t="shared" si="496"/>
        <v>No Cumple</v>
      </c>
      <c r="AE185" s="48">
        <f t="shared" si="497"/>
        <v>1</v>
      </c>
      <c r="AF185" s="48">
        <f t="shared" si="497"/>
        <v>0</v>
      </c>
      <c r="AG185" s="48">
        <f t="shared" si="497"/>
        <v>0</v>
      </c>
      <c r="AH185" s="48">
        <f t="shared" si="498"/>
        <v>1</v>
      </c>
      <c r="AI185" s="46">
        <f t="shared" si="499"/>
        <v>0</v>
      </c>
      <c r="AJ185" s="22">
        <f>IF(AI185&gt;0,I185*VLOOKUP(T185,'$ alcantarillado'!$I$6:$K$22,3),0)</f>
        <v>0</v>
      </c>
      <c r="AK185" s="20">
        <f t="shared" si="471"/>
        <v>0</v>
      </c>
      <c r="AL185" s="20">
        <f t="shared" si="472"/>
        <v>0</v>
      </c>
      <c r="AM185" s="22">
        <f t="shared" si="485"/>
        <v>0</v>
      </c>
      <c r="AN185" s="82">
        <f>+AP171</f>
        <v>6023328.248666672</v>
      </c>
      <c r="AO185" s="79" t="str">
        <f t="shared" si="500"/>
        <v/>
      </c>
      <c r="AP185" s="224"/>
      <c r="AQ185" s="10"/>
      <c r="AR185" s="11"/>
    </row>
    <row r="186" spans="1:44" x14ac:dyDescent="0.25">
      <c r="A186" s="211"/>
      <c r="B186" s="211"/>
      <c r="C186" s="211"/>
      <c r="D186" s="211"/>
      <c r="E186" s="4">
        <v>1</v>
      </c>
      <c r="F186" s="7">
        <f>+H151</f>
        <v>47.57</v>
      </c>
      <c r="G186" s="4">
        <v>3</v>
      </c>
      <c r="H186" s="7">
        <f>+'LOGIKA AN-1'!H181</f>
        <v>46.89</v>
      </c>
      <c r="I186" s="7">
        <f t="shared" ref="I186" si="505">+I185</f>
        <v>80</v>
      </c>
      <c r="J186" s="18">
        <f>+(F186-H186)/I186</f>
        <v>8.4999999999999971E-3</v>
      </c>
      <c r="K186" s="7">
        <f t="shared" ref="K186" si="506">+K185</f>
        <v>948</v>
      </c>
      <c r="L186" s="14">
        <f>IF(K186&lt;38,K186^0.3686*0.7401,IF(K186&lt;235,K186^0.4193*0.6215,IF(K186&lt;932,K186*0.0092+4.2493,K186*0.0069+6.7345)))</f>
        <v>13.275700000000001</v>
      </c>
      <c r="M186" s="31">
        <f>+L186/1000</f>
        <v>1.32757E-2</v>
      </c>
      <c r="N186" s="31">
        <f t="shared" si="385"/>
        <v>0.13311799873800181</v>
      </c>
      <c r="O186" s="31">
        <f t="shared" si="386"/>
        <v>5.240866092047316</v>
      </c>
      <c r="P186" s="57">
        <f t="shared" si="387"/>
        <v>6</v>
      </c>
      <c r="Q186" s="60">
        <f>IF(O186&gt;0,VLOOKUP(P186,'$ alcantarillado'!$I$5:$L$22,4,FALSE),"0")</f>
        <v>0.14499999999999999</v>
      </c>
      <c r="R186" s="60">
        <f t="shared" si="388"/>
        <v>1.6675314080657526E-2</v>
      </c>
      <c r="S186" s="27">
        <f t="shared" si="389"/>
        <v>0.79612893261177631</v>
      </c>
      <c r="T186" s="57">
        <f>+IF(S186&gt;$B$13,VLOOKUP(P186,'$ alcantarillado'!$I$6:$N$22,5),P186)</f>
        <v>6</v>
      </c>
      <c r="U186" s="60">
        <f>IF(O186&gt;0,VLOOKUP(T186,'$ alcantarillado'!$I$5:$L$22,4),"0")</f>
        <v>0.14499999999999999</v>
      </c>
      <c r="V186" s="60">
        <f t="shared" si="390"/>
        <v>1.6675314080657526E-2</v>
      </c>
      <c r="W186" s="27">
        <f t="shared" si="504"/>
        <v>0.79612893261177631</v>
      </c>
      <c r="X186" s="27">
        <f>IF(T186&gt;0,4*V186/(PI()*(U186)^2),"")</f>
        <v>1.0098296936205584</v>
      </c>
      <c r="Y186" s="60">
        <f>IF(T186&gt;0,(VLOOKUP($W186,Relaciones!$A$4:$D$108,2)),"")</f>
        <v>0.98</v>
      </c>
      <c r="Z186" s="27">
        <f>IF(T186&gt;0,Y186*X186,"")</f>
        <v>0.98963309974814717</v>
      </c>
      <c r="AA186" s="27">
        <f>IF(T186&gt;0,250*U186*J186,"")</f>
        <v>0.30812499999999987</v>
      </c>
      <c r="AB186" s="45" t="str">
        <f>IF(T186&gt;0,IF(W186&lt;=$B$13,"OK","No Cumple"),"")</f>
        <v>OK</v>
      </c>
      <c r="AC186" s="45" t="str">
        <f>IF(T186&gt;0,IF(Z186&gt;=$B$12,"OK","No Cumple"),"")</f>
        <v>OK</v>
      </c>
      <c r="AD186" s="45" t="str">
        <f>IF(T186&gt;0,IF(AA186&gt;$B$14,"OK","No Cumple"),"")</f>
        <v>OK</v>
      </c>
      <c r="AE186" s="32">
        <f>+IF(AB186="OK",1,0)</f>
        <v>1</v>
      </c>
      <c r="AF186" s="32">
        <f>+IF(AC186="OK",1,0)</f>
        <v>1</v>
      </c>
      <c r="AG186" s="32">
        <f>+IF(AD186="OK",1,0)</f>
        <v>1</v>
      </c>
      <c r="AH186" s="32">
        <f>SUM(AE186:AG186)</f>
        <v>3</v>
      </c>
      <c r="AI186" s="45">
        <f>IF(AH186=3,2*$B$7+U186,0)</f>
        <v>0.64500000000000002</v>
      </c>
      <c r="AJ186" s="21">
        <f>IF(AI186&gt;0,I186*VLOOKUP(T186,'$ alcantarillado'!$I$6:$K$22,3),0)</f>
        <v>1912173.3333333335</v>
      </c>
      <c r="AK186" s="61">
        <f t="shared" si="471"/>
        <v>2570454.0000000042</v>
      </c>
      <c r="AL186" s="61">
        <f t="shared" si="472"/>
        <v>1113279.6950000019</v>
      </c>
      <c r="AM186" s="21">
        <f>IF(AJ186&gt;0,AJ186+AK186+AL186,0)</f>
        <v>5595907.0283333398</v>
      </c>
      <c r="AN186" s="81">
        <f>IF(AP151&gt;0,+AP151,0)</f>
        <v>0</v>
      </c>
      <c r="AO186" s="77" t="str">
        <f>IF((AM186)&gt;0,IF(AN186&gt;0,AM186+AN186,""),"")</f>
        <v/>
      </c>
      <c r="AP186" s="213">
        <f>+MIN(AO186:AO190)</f>
        <v>12886686.997333344</v>
      </c>
      <c r="AQ186" s="7"/>
      <c r="AR186" s="8"/>
    </row>
    <row r="187" spans="1:44" x14ac:dyDescent="0.25">
      <c r="A187" s="211"/>
      <c r="B187" s="211"/>
      <c r="C187" s="211"/>
      <c r="D187" s="211"/>
      <c r="E187" s="5">
        <v>2</v>
      </c>
      <c r="F187" s="2">
        <f>+H156</f>
        <v>47.445</v>
      </c>
      <c r="G187" s="5">
        <v>3</v>
      </c>
      <c r="H187" s="2">
        <f>+H186</f>
        <v>46.89</v>
      </c>
      <c r="I187" s="2">
        <f>+I186</f>
        <v>80</v>
      </c>
      <c r="J187" s="18">
        <f t="shared" si="473"/>
        <v>6.9374999999999966E-3</v>
      </c>
      <c r="K187" s="2">
        <f>+K186</f>
        <v>948</v>
      </c>
      <c r="L187" s="15">
        <f t="shared" si="474"/>
        <v>13.275700000000001</v>
      </c>
      <c r="M187" s="33">
        <f t="shared" ref="M187:M190" si="507">+L187/1000</f>
        <v>1.32757E-2</v>
      </c>
      <c r="N187" s="33">
        <f t="shared" si="385"/>
        <v>0.13828569818226932</v>
      </c>
      <c r="O187" s="33">
        <f t="shared" si="386"/>
        <v>5.4443188260735953</v>
      </c>
      <c r="P187" s="58">
        <f t="shared" si="387"/>
        <v>6</v>
      </c>
      <c r="Q187" s="55">
        <f>IF(O187&gt;0,VLOOKUP(P187,'$ alcantarillado'!$I$5:$L$22,4,FALSE),"0")</f>
        <v>0.14499999999999999</v>
      </c>
      <c r="R187" s="55">
        <f t="shared" si="388"/>
        <v>1.5064893223453581E-2</v>
      </c>
      <c r="S187" s="35">
        <f t="shared" si="389"/>
        <v>0.88123425789250864</v>
      </c>
      <c r="T187" s="58">
        <f>+IF(S187&gt;$B$13,VLOOKUP(P187,'$ alcantarillado'!$I$6:$N$22,5),P187)</f>
        <v>8</v>
      </c>
      <c r="U187" s="55">
        <f>IF(O187&gt;0,VLOOKUP(T187,'$ alcantarillado'!$I$5:$L$22,4),"0")</f>
        <v>0.182</v>
      </c>
      <c r="V187" s="55">
        <f t="shared" si="390"/>
        <v>2.7616910119140928E-2</v>
      </c>
      <c r="W187" s="35">
        <f t="shared" si="504"/>
        <v>0.48070909970477765</v>
      </c>
      <c r="X187" s="35">
        <f t="shared" ref="X187:X190" si="508">IF(T187&gt;0,4*V187/(PI()*(U187)^2),"")</f>
        <v>1.0615548263219086</v>
      </c>
      <c r="Y187" s="55">
        <f>IF(T187&gt;0,(VLOOKUP($W187,Relaciones!$A$4:$D$108,2)),"")</f>
        <v>0.84</v>
      </c>
      <c r="Z187" s="35">
        <f t="shared" ref="Z187:Z190" si="509">IF(T187&gt;0,Y187*X187,"")</f>
        <v>0.89170605411040316</v>
      </c>
      <c r="AA187" s="35">
        <f t="shared" ref="AA187:AA190" si="510">IF(T187&gt;0,250*U187*J187,"")</f>
        <v>0.31565624999999986</v>
      </c>
      <c r="AB187" s="46" t="str">
        <f t="shared" ref="AB187:AB190" si="511">IF(T187&gt;0,IF(W187&lt;=$B$13,"OK","No Cumple"),"")</f>
        <v>OK</v>
      </c>
      <c r="AC187" s="46" t="str">
        <f t="shared" ref="AC187:AC190" si="512">IF(T187&gt;0,IF(Z187&gt;=$B$12,"OK","No Cumple"),"")</f>
        <v>OK</v>
      </c>
      <c r="AD187" s="46" t="str">
        <f t="shared" ref="AD187:AD190" si="513">IF(T187&gt;0,IF(AA187&gt;$B$14,"OK","No Cumple"),"")</f>
        <v>OK</v>
      </c>
      <c r="AE187" s="48">
        <f t="shared" ref="AE187:AG190" si="514">+IF(AB187="OK",1,0)</f>
        <v>1</v>
      </c>
      <c r="AF187" s="48">
        <f t="shared" si="514"/>
        <v>1</v>
      </c>
      <c r="AG187" s="48">
        <f t="shared" si="514"/>
        <v>1</v>
      </c>
      <c r="AH187" s="48">
        <f t="shared" ref="AH187:AH190" si="515">SUM(AE187:AG187)</f>
        <v>3</v>
      </c>
      <c r="AI187" s="46">
        <f t="shared" ref="AI187:AI190" si="516">IF(AH187=3,2*$B$7+U187,0)</f>
        <v>0.68199999999999994</v>
      </c>
      <c r="AJ187" s="20">
        <f>IF(AI187&gt;0,I187*VLOOKUP(T187,'$ alcantarillado'!$I$6:$K$22,3),0)</f>
        <v>2654586.666666667</v>
      </c>
      <c r="AK187" s="20">
        <f t="shared" si="471"/>
        <v>2895171.8400000031</v>
      </c>
      <c r="AL187" s="20">
        <f t="shared" si="472"/>
        <v>1226352.6170000019</v>
      </c>
      <c r="AM187" s="20">
        <f t="shared" si="485"/>
        <v>6776111.123666672</v>
      </c>
      <c r="AN187" s="80">
        <f>+AP156</f>
        <v>0</v>
      </c>
      <c r="AO187" s="78" t="str">
        <f t="shared" ref="AO187:AO190" si="517">IF((AM187)&gt;0,IF(AN187&gt;0,AM187+AN187,""),"")</f>
        <v/>
      </c>
      <c r="AP187" s="214"/>
      <c r="AQ187" s="2"/>
      <c r="AR187" s="9"/>
    </row>
    <row r="188" spans="1:44" x14ac:dyDescent="0.25">
      <c r="A188" s="211"/>
      <c r="B188" s="211"/>
      <c r="C188" s="211"/>
      <c r="D188" s="211"/>
      <c r="E188" s="56">
        <v>3</v>
      </c>
      <c r="F188" s="2">
        <f>+H161</f>
        <v>47.32</v>
      </c>
      <c r="G188" s="56">
        <v>3</v>
      </c>
      <c r="H188" s="2">
        <f t="shared" ref="H188:H189" si="518">+H187</f>
        <v>46.89</v>
      </c>
      <c r="I188" s="2">
        <f t="shared" ref="I188:I189" si="519">+I187</f>
        <v>80</v>
      </c>
      <c r="J188" s="18">
        <f t="shared" si="473"/>
        <v>5.3749999999999961E-3</v>
      </c>
      <c r="K188" s="2">
        <f t="shared" ref="K188:K189" si="520">+K187</f>
        <v>948</v>
      </c>
      <c r="L188" s="15">
        <f t="shared" si="474"/>
        <v>13.275700000000001</v>
      </c>
      <c r="M188" s="33">
        <f t="shared" si="507"/>
        <v>1.32757E-2</v>
      </c>
      <c r="N188" s="33">
        <f t="shared" si="385"/>
        <v>0.1450630704499157</v>
      </c>
      <c r="O188" s="33">
        <f t="shared" si="386"/>
        <v>5.711144505902193</v>
      </c>
      <c r="P188" s="58">
        <f t="shared" si="387"/>
        <v>6</v>
      </c>
      <c r="Q188" s="55">
        <f>IF(O188&gt;0,VLOOKUP(P188,'$ alcantarillado'!$I$5:$L$22,4,FALSE),"0")</f>
        <v>0.14499999999999999</v>
      </c>
      <c r="R188" s="55">
        <f t="shared" si="388"/>
        <v>1.3260313570181519E-2</v>
      </c>
      <c r="S188" s="35">
        <f t="shared" si="389"/>
        <v>1.0011603368002608</v>
      </c>
      <c r="T188" s="58">
        <f>+IF(S188&gt;$B$13,VLOOKUP(P188,'$ alcantarillado'!$I$6:$N$22,5),P188)</f>
        <v>8</v>
      </c>
      <c r="U188" s="55">
        <f>IF(O188&gt;0,VLOOKUP(T188,'$ alcantarillado'!$I$5:$L$22,4),"0")</f>
        <v>0.182</v>
      </c>
      <c r="V188" s="55">
        <f t="shared" si="390"/>
        <v>2.4308760944232927E-2</v>
      </c>
      <c r="W188" s="35">
        <f t="shared" si="504"/>
        <v>0.54612820581254518</v>
      </c>
      <c r="X188" s="35">
        <f t="shared" si="508"/>
        <v>0.9343942675314284</v>
      </c>
      <c r="Y188" s="55">
        <f>IF(T188&gt;0,(VLOOKUP($W188,Relaciones!$A$4:$D$108,2)),"")</f>
        <v>0.87</v>
      </c>
      <c r="Z188" s="35">
        <f t="shared" si="509"/>
        <v>0.81292301275234269</v>
      </c>
      <c r="AA188" s="35">
        <f t="shared" si="510"/>
        <v>0.24456249999999982</v>
      </c>
      <c r="AB188" s="46" t="str">
        <f t="shared" si="511"/>
        <v>OK</v>
      </c>
      <c r="AC188" s="46" t="str">
        <f t="shared" si="512"/>
        <v>OK</v>
      </c>
      <c r="AD188" s="46" t="str">
        <f t="shared" si="513"/>
        <v>OK</v>
      </c>
      <c r="AE188" s="48">
        <f t="shared" si="514"/>
        <v>1</v>
      </c>
      <c r="AF188" s="48">
        <f t="shared" si="514"/>
        <v>1</v>
      </c>
      <c r="AG188" s="48">
        <f t="shared" si="514"/>
        <v>1</v>
      </c>
      <c r="AH188" s="48">
        <f t="shared" si="515"/>
        <v>3</v>
      </c>
      <c r="AI188" s="46">
        <f t="shared" si="516"/>
        <v>0.68199999999999994</v>
      </c>
      <c r="AJ188" s="20">
        <f>IF(AI188&gt;0,I188*VLOOKUP(T188,'$ alcantarillado'!$I$6:$K$22,3),0)</f>
        <v>2654586.666666667</v>
      </c>
      <c r="AK188" s="20">
        <f t="shared" si="471"/>
        <v>3017931.8400000036</v>
      </c>
      <c r="AL188" s="20">
        <f t="shared" si="472"/>
        <v>1313600.2420000019</v>
      </c>
      <c r="AM188" s="20">
        <f t="shared" si="485"/>
        <v>6986118.748666672</v>
      </c>
      <c r="AN188" s="80">
        <f>+AP161</f>
        <v>5900568.248666672</v>
      </c>
      <c r="AO188" s="78">
        <f t="shared" si="517"/>
        <v>12886686.997333344</v>
      </c>
      <c r="AP188" s="215"/>
      <c r="AQ188" s="2"/>
      <c r="AR188" s="9"/>
    </row>
    <row r="189" spans="1:44" x14ac:dyDescent="0.25">
      <c r="A189" s="211"/>
      <c r="B189" s="211"/>
      <c r="C189" s="211"/>
      <c r="D189" s="211"/>
      <c r="E189" s="56">
        <v>4</v>
      </c>
      <c r="F189" s="2">
        <f>+H166</f>
        <v>47.195</v>
      </c>
      <c r="G189" s="56">
        <v>3</v>
      </c>
      <c r="H189" s="2">
        <f t="shared" si="518"/>
        <v>46.89</v>
      </c>
      <c r="I189" s="2">
        <f t="shared" si="519"/>
        <v>80</v>
      </c>
      <c r="J189" s="18">
        <f>+(F189-H189)/I189</f>
        <v>3.8124999999999964E-3</v>
      </c>
      <c r="K189" s="2">
        <f t="shared" si="520"/>
        <v>948</v>
      </c>
      <c r="L189" s="15">
        <f t="shared" si="474"/>
        <v>13.275700000000001</v>
      </c>
      <c r="M189" s="33">
        <f t="shared" si="507"/>
        <v>1.32757E-2</v>
      </c>
      <c r="N189" s="33">
        <f t="shared" si="385"/>
        <v>0.15471270563132869</v>
      </c>
      <c r="O189" s="33">
        <f t="shared" si="386"/>
        <v>6.0910514028082163</v>
      </c>
      <c r="P189" s="58">
        <f t="shared" si="387"/>
        <v>8</v>
      </c>
      <c r="Q189" s="55">
        <f>IF(O189&gt;0,VLOOKUP(P189,'$ alcantarillado'!$I$5:$L$22,4,FALSE),"0")</f>
        <v>0.182</v>
      </c>
      <c r="R189" s="55">
        <f t="shared" si="388"/>
        <v>2.0472859906691582E-2</v>
      </c>
      <c r="S189" s="35">
        <f t="shared" si="389"/>
        <v>0.64845361422420611</v>
      </c>
      <c r="T189" s="58">
        <f>+IF(S189&gt;$B$13,VLOOKUP(P189,'$ alcantarillado'!$I$6:$N$22,5),P189)</f>
        <v>8</v>
      </c>
      <c r="U189" s="55">
        <f>IF(O189&gt;0,VLOOKUP(T189,'$ alcantarillado'!$I$5:$L$22,4),"0")</f>
        <v>0.182</v>
      </c>
      <c r="V189" s="55">
        <f t="shared" si="390"/>
        <v>2.0472859906691582E-2</v>
      </c>
      <c r="W189" s="35">
        <f t="shared" si="504"/>
        <v>0.64845361422420611</v>
      </c>
      <c r="X189" s="35">
        <f t="shared" si="508"/>
        <v>0.78694767621732742</v>
      </c>
      <c r="Y189" s="55">
        <f>IF(T189&gt;0,(VLOOKUP($W189,Relaciones!$A$4:$D$108,2)),"")</f>
        <v>0.91800000000000004</v>
      </c>
      <c r="Z189" s="35">
        <f t="shared" si="509"/>
        <v>0.72241796676750658</v>
      </c>
      <c r="AA189" s="35">
        <f t="shared" si="510"/>
        <v>0.17346874999999984</v>
      </c>
      <c r="AB189" s="46" t="str">
        <f t="shared" si="511"/>
        <v>OK</v>
      </c>
      <c r="AC189" s="46" t="str">
        <f t="shared" si="512"/>
        <v>OK</v>
      </c>
      <c r="AD189" s="46" t="str">
        <f t="shared" si="513"/>
        <v>OK</v>
      </c>
      <c r="AE189" s="48">
        <f t="shared" si="514"/>
        <v>1</v>
      </c>
      <c r="AF189" s="48">
        <f t="shared" si="514"/>
        <v>1</v>
      </c>
      <c r="AG189" s="48">
        <f t="shared" si="514"/>
        <v>1</v>
      </c>
      <c r="AH189" s="48">
        <f t="shared" si="515"/>
        <v>3</v>
      </c>
      <c r="AI189" s="46">
        <f t="shared" si="516"/>
        <v>0.68199999999999994</v>
      </c>
      <c r="AJ189" s="20">
        <f>IF(AI189&gt;0,I189*VLOOKUP(T189,'$ alcantarillado'!$I$6:$K$22,3),0)</f>
        <v>2654586.666666667</v>
      </c>
      <c r="AK189" s="20">
        <f t="shared" si="471"/>
        <v>3140691.8400000036</v>
      </c>
      <c r="AL189" s="20">
        <f t="shared" si="472"/>
        <v>1400847.8670000019</v>
      </c>
      <c r="AM189" s="20">
        <f t="shared" si="485"/>
        <v>7196126.373666672</v>
      </c>
      <c r="AN189" s="80">
        <f>+AP166</f>
        <v>5961948.248666672</v>
      </c>
      <c r="AO189" s="78">
        <f t="shared" si="517"/>
        <v>13158074.622333344</v>
      </c>
      <c r="AP189" s="215"/>
      <c r="AQ189" s="2">
        <v>3</v>
      </c>
      <c r="AR189" s="9">
        <v>3</v>
      </c>
    </row>
    <row r="190" spans="1:44" ht="15.75" thickBot="1" x14ac:dyDescent="0.3">
      <c r="A190" s="211"/>
      <c r="B190" s="211"/>
      <c r="C190" s="211"/>
      <c r="D190" s="211"/>
      <c r="E190" s="6">
        <v>5</v>
      </c>
      <c r="F190" s="16">
        <f>+H171</f>
        <v>47.07</v>
      </c>
      <c r="G190" s="6">
        <v>3</v>
      </c>
      <c r="H190" s="10">
        <f>+H189</f>
        <v>46.89</v>
      </c>
      <c r="I190" s="10">
        <f>+I189</f>
        <v>80</v>
      </c>
      <c r="J190" s="19">
        <f t="shared" si="473"/>
        <v>2.2499999999999964E-3</v>
      </c>
      <c r="K190" s="10">
        <f>+K189</f>
        <v>948</v>
      </c>
      <c r="L190" s="16">
        <f t="shared" si="474"/>
        <v>13.275700000000001</v>
      </c>
      <c r="M190" s="34">
        <f t="shared" si="507"/>
        <v>1.32757E-2</v>
      </c>
      <c r="N190" s="34">
        <f t="shared" si="385"/>
        <v>0.1707924255640231</v>
      </c>
      <c r="O190" s="34">
        <f t="shared" si="386"/>
        <v>6.7241112426780756</v>
      </c>
      <c r="P190" s="59">
        <f t="shared" si="387"/>
        <v>8</v>
      </c>
      <c r="Q190" s="55">
        <f>IF(O190&gt;0,VLOOKUP(P190,'$ alcantarillado'!$I$5:$L$22,4,FALSE),"0")</f>
        <v>0.182</v>
      </c>
      <c r="R190" s="47">
        <f t="shared" si="388"/>
        <v>1.5727686634536414E-2</v>
      </c>
      <c r="S190" s="35">
        <f t="shared" si="389"/>
        <v>0.84409743838918438</v>
      </c>
      <c r="T190" s="58">
        <f>+IF(S190&gt;$B$13,VLOOKUP(P190,'$ alcantarillado'!$I$6:$N$22,5),P190)</f>
        <v>8</v>
      </c>
      <c r="U190" s="55">
        <f>IF(O190&gt;0,VLOOKUP(T190,'$ alcantarillado'!$I$5:$L$22,4),"0")</f>
        <v>0.182</v>
      </c>
      <c r="V190" s="55">
        <f t="shared" si="390"/>
        <v>1.5727686634536414E-2</v>
      </c>
      <c r="W190" s="35">
        <f t="shared" si="504"/>
        <v>0.84409743838918438</v>
      </c>
      <c r="X190" s="35">
        <f t="shared" si="508"/>
        <v>0.60454995079985652</v>
      </c>
      <c r="Y190" s="55">
        <f>IF(T190&gt;0,(VLOOKUP($W190,Relaciones!$A$4:$D$108,2)),"")</f>
        <v>0.997</v>
      </c>
      <c r="Z190" s="35">
        <f t="shared" si="509"/>
        <v>0.60273630094745689</v>
      </c>
      <c r="AA190" s="35">
        <f t="shared" si="510"/>
        <v>0.10237499999999984</v>
      </c>
      <c r="AB190" s="46" t="str">
        <f t="shared" si="511"/>
        <v>OK</v>
      </c>
      <c r="AC190" s="46" t="str">
        <f t="shared" si="512"/>
        <v>OK</v>
      </c>
      <c r="AD190" s="46" t="str">
        <f t="shared" si="513"/>
        <v>No Cumple</v>
      </c>
      <c r="AE190" s="48">
        <f t="shared" si="514"/>
        <v>1</v>
      </c>
      <c r="AF190" s="48">
        <f t="shared" si="514"/>
        <v>1</v>
      </c>
      <c r="AG190" s="48">
        <f t="shared" si="514"/>
        <v>0</v>
      </c>
      <c r="AH190" s="48">
        <f t="shared" si="515"/>
        <v>2</v>
      </c>
      <c r="AI190" s="46">
        <f t="shared" si="516"/>
        <v>0</v>
      </c>
      <c r="AJ190" s="22">
        <f>IF(AI190&gt;0,I190*VLOOKUP(T190,'$ alcantarillado'!$I$6:$K$22,3),0)</f>
        <v>0</v>
      </c>
      <c r="AK190" s="20">
        <f t="shared" si="471"/>
        <v>0</v>
      </c>
      <c r="AL190" s="20">
        <f t="shared" si="472"/>
        <v>0</v>
      </c>
      <c r="AM190" s="22">
        <f t="shared" si="485"/>
        <v>0</v>
      </c>
      <c r="AN190" s="82">
        <f>+AP171</f>
        <v>6023328.248666672</v>
      </c>
      <c r="AO190" s="79" t="str">
        <f t="shared" si="517"/>
        <v/>
      </c>
      <c r="AP190" s="216"/>
      <c r="AQ190" s="10"/>
      <c r="AR190" s="11"/>
    </row>
    <row r="191" spans="1:44" x14ac:dyDescent="0.25">
      <c r="A191" s="211"/>
      <c r="B191" s="211"/>
      <c r="C191" s="211"/>
      <c r="D191" s="211"/>
      <c r="E191" s="4">
        <v>1</v>
      </c>
      <c r="F191" s="7">
        <f>+H151</f>
        <v>47.57</v>
      </c>
      <c r="G191" s="4">
        <v>4</v>
      </c>
      <c r="H191" s="14">
        <f>+H186-$B$15</f>
        <v>46.765000000000001</v>
      </c>
      <c r="I191" s="12">
        <f>+I186</f>
        <v>80</v>
      </c>
      <c r="J191" s="18">
        <f>+(F191-H191)/I191</f>
        <v>1.0062499999999997E-2</v>
      </c>
      <c r="K191" s="12">
        <f>+K186</f>
        <v>948</v>
      </c>
      <c r="L191" s="14">
        <f>IF(K191&lt;38,K191^0.3686*0.7401,IF(K191&lt;235,K191^0.4193*0.6215,IF(K191&lt;932,K191*0.0092+4.2493,K191*0.0069+6.7345)))</f>
        <v>13.275700000000001</v>
      </c>
      <c r="M191" s="31">
        <f>+L191/1000</f>
        <v>1.32757E-2</v>
      </c>
      <c r="N191" s="31">
        <f t="shared" si="385"/>
        <v>0.12897201154864099</v>
      </c>
      <c r="O191" s="31">
        <f t="shared" si="386"/>
        <v>5.0776382499464958</v>
      </c>
      <c r="P191" s="57">
        <f t="shared" si="387"/>
        <v>6</v>
      </c>
      <c r="Q191" s="60">
        <f>IF(O191&gt;0,VLOOKUP(P191,'$ alcantarillado'!$I$5:$L$22,4,FALSE),"0")</f>
        <v>0.14499999999999999</v>
      </c>
      <c r="R191" s="60">
        <f t="shared" si="388"/>
        <v>1.8143351166283826E-2</v>
      </c>
      <c r="S191" s="27">
        <f t="shared" si="389"/>
        <v>0.73171157182199698</v>
      </c>
      <c r="T191" s="57">
        <f>+IF(S191&gt;$B$13,VLOOKUP(P191,'$ alcantarillado'!$I$6:$N$22,5),P191)</f>
        <v>6</v>
      </c>
      <c r="U191" s="60">
        <f>IF(O191&gt;0,VLOOKUP(T191,'$ alcantarillado'!$I$5:$L$22,4),"0")</f>
        <v>0.14499999999999999</v>
      </c>
      <c r="V191" s="60">
        <f t="shared" si="390"/>
        <v>1.8143351166283826E-2</v>
      </c>
      <c r="W191" s="27">
        <f t="shared" si="504"/>
        <v>0.73171157182199698</v>
      </c>
      <c r="X191" s="27">
        <f>IF(T191&gt;0,4*V191/(PI()*(U191)^2),"")</f>
        <v>1.0987316137421832</v>
      </c>
      <c r="Y191" s="60">
        <f>IF(T191&gt;0,(VLOOKUP($W191,Relaciones!$A$4:$D$108,2)),"")</f>
        <v>0.95799999999999996</v>
      </c>
      <c r="Z191" s="27">
        <f>IF(T191&gt;0,Y191*X191,"")</f>
        <v>1.0525848859650115</v>
      </c>
      <c r="AA191" s="27">
        <f>IF(T191&gt;0,250*U191*J191,"")</f>
        <v>0.36476562499999987</v>
      </c>
      <c r="AB191" s="45" t="str">
        <f>IF(T191&gt;0,IF(W191&lt;=$B$13,"OK","No Cumple"),"")</f>
        <v>OK</v>
      </c>
      <c r="AC191" s="45" t="str">
        <f>IF(T191&gt;0,IF(Z191&gt;=$B$12,"OK","No Cumple"),"")</f>
        <v>OK</v>
      </c>
      <c r="AD191" s="45" t="str">
        <f>IF(T191&gt;0,IF(AA191&gt;$B$14,"OK","No Cumple"),"")</f>
        <v>OK</v>
      </c>
      <c r="AE191" s="32">
        <f>+IF(AB191="OK",1,0)</f>
        <v>1</v>
      </c>
      <c r="AF191" s="32">
        <f>+IF(AC191="OK",1,0)</f>
        <v>1</v>
      </c>
      <c r="AG191" s="32">
        <f>+IF(AD191="OK",1,0)</f>
        <v>1</v>
      </c>
      <c r="AH191" s="32">
        <f>SUM(AE191:AG191)</f>
        <v>3</v>
      </c>
      <c r="AI191" s="45">
        <f>IF(AH191=3,2*$B$7+U191,0)</f>
        <v>0.64500000000000002</v>
      </c>
      <c r="AJ191" s="21">
        <f>IF(AI191&gt;0,I191*VLOOKUP(T191,'$ alcantarillado'!$I$6:$K$22,3),0)</f>
        <v>1912173.3333333335</v>
      </c>
      <c r="AK191" s="61">
        <f t="shared" si="471"/>
        <v>2628504.0000000047</v>
      </c>
      <c r="AL191" s="61">
        <f t="shared" si="472"/>
        <v>1113279.6950000019</v>
      </c>
      <c r="AM191" s="21">
        <f>IF(AJ191&gt;0,AJ191+AK191+AL191,0)</f>
        <v>5653957.0283333398</v>
      </c>
      <c r="AN191" s="81">
        <f>IF(AP151&gt;0,+AP151,0)</f>
        <v>0</v>
      </c>
      <c r="AO191" s="77" t="str">
        <f>IF((AM191)&gt;0,IF(AN191&gt;0,AM191+AN191,""),"")</f>
        <v/>
      </c>
      <c r="AP191" s="213">
        <f>+MIN(AO191:AO195)</f>
        <v>12948066.997333346</v>
      </c>
      <c r="AQ191" s="7"/>
      <c r="AR191" s="8"/>
    </row>
    <row r="192" spans="1:44" x14ac:dyDescent="0.25">
      <c r="A192" s="211"/>
      <c r="B192" s="211"/>
      <c r="C192" s="211"/>
      <c r="D192" s="211"/>
      <c r="E192" s="5">
        <v>2</v>
      </c>
      <c r="F192" s="2">
        <f>+H156</f>
        <v>47.445</v>
      </c>
      <c r="G192" s="5">
        <v>4</v>
      </c>
      <c r="H192" s="15">
        <f>+H191</f>
        <v>46.765000000000001</v>
      </c>
      <c r="I192" s="2">
        <f>+I191</f>
        <v>80</v>
      </c>
      <c r="J192" s="18">
        <f t="shared" si="473"/>
        <v>8.4999999999999971E-3</v>
      </c>
      <c r="K192" s="2">
        <f>+K191</f>
        <v>948</v>
      </c>
      <c r="L192" s="15">
        <f t="shared" si="474"/>
        <v>13.275700000000001</v>
      </c>
      <c r="M192" s="33">
        <f t="shared" ref="M192:M195" si="521">+L192/1000</f>
        <v>1.32757E-2</v>
      </c>
      <c r="N192" s="33">
        <f t="shared" si="385"/>
        <v>0.13311799873800181</v>
      </c>
      <c r="O192" s="33">
        <f t="shared" si="386"/>
        <v>5.240866092047316</v>
      </c>
      <c r="P192" s="58">
        <f t="shared" si="387"/>
        <v>6</v>
      </c>
      <c r="Q192" s="55">
        <f>IF(O192&gt;0,VLOOKUP(P192,'$ alcantarillado'!$I$5:$L$22,4,FALSE),"0")</f>
        <v>0.14499999999999999</v>
      </c>
      <c r="R192" s="55">
        <f t="shared" si="388"/>
        <v>1.6675314080657526E-2</v>
      </c>
      <c r="S192" s="35">
        <f t="shared" si="389"/>
        <v>0.79612893261177631</v>
      </c>
      <c r="T192" s="58">
        <f>+IF(S192&gt;$B$13,VLOOKUP(P192,'$ alcantarillado'!$I$6:$N$22,5),P192)</f>
        <v>6</v>
      </c>
      <c r="U192" s="55">
        <f>IF(O192&gt;0,VLOOKUP(T192,'$ alcantarillado'!$I$5:$L$22,4),"0")</f>
        <v>0.14499999999999999</v>
      </c>
      <c r="V192" s="55">
        <f t="shared" si="390"/>
        <v>1.6675314080657526E-2</v>
      </c>
      <c r="W192" s="35">
        <f t="shared" si="504"/>
        <v>0.79612893261177631</v>
      </c>
      <c r="X192" s="35">
        <f t="shared" ref="X192:X195" si="522">IF(T192&gt;0,4*V192/(PI()*(U192)^2),"")</f>
        <v>1.0098296936205584</v>
      </c>
      <c r="Y192" s="55">
        <f>IF(T192&gt;0,(VLOOKUP($W192,Relaciones!$A$4:$D$108,2)),"")</f>
        <v>0.98</v>
      </c>
      <c r="Z192" s="35">
        <f t="shared" ref="Z192:Z195" si="523">IF(T192&gt;0,Y192*X192,"")</f>
        <v>0.98963309974814717</v>
      </c>
      <c r="AA192" s="35">
        <f t="shared" ref="AA192:AA195" si="524">IF(T192&gt;0,250*U192*J192,"")</f>
        <v>0.30812499999999987</v>
      </c>
      <c r="AB192" s="46" t="str">
        <f t="shared" ref="AB192:AB195" si="525">IF(T192&gt;0,IF(W192&lt;=$B$13,"OK","No Cumple"),"")</f>
        <v>OK</v>
      </c>
      <c r="AC192" s="46" t="str">
        <f t="shared" ref="AC192:AC195" si="526">IF(T192&gt;0,IF(Z192&gt;=$B$12,"OK","No Cumple"),"")</f>
        <v>OK</v>
      </c>
      <c r="AD192" s="46" t="str">
        <f t="shared" ref="AD192:AD195" si="527">IF(T192&gt;0,IF(AA192&gt;$B$14,"OK","No Cumple"),"")</f>
        <v>OK</v>
      </c>
      <c r="AE192" s="48">
        <f t="shared" ref="AE192:AG195" si="528">+IF(AB192="OK",1,0)</f>
        <v>1</v>
      </c>
      <c r="AF192" s="48">
        <f t="shared" si="528"/>
        <v>1</v>
      </c>
      <c r="AG192" s="48">
        <f t="shared" si="528"/>
        <v>1</v>
      </c>
      <c r="AH192" s="48">
        <f t="shared" ref="AH192:AH195" si="529">SUM(AE192:AG192)</f>
        <v>3</v>
      </c>
      <c r="AI192" s="46">
        <f t="shared" ref="AI192:AI195" si="530">IF(AH192=3,2*$B$7+U192,0)</f>
        <v>0.64500000000000002</v>
      </c>
      <c r="AJ192" s="20">
        <f>IF(AI192&gt;0,I192*VLOOKUP(T192,'$ alcantarillado'!$I$6:$K$22,3),0)</f>
        <v>1912173.3333333335</v>
      </c>
      <c r="AK192" s="20">
        <f t="shared" si="471"/>
        <v>2744604.0000000042</v>
      </c>
      <c r="AL192" s="20">
        <f t="shared" si="472"/>
        <v>1200527.3200000019</v>
      </c>
      <c r="AM192" s="20">
        <f t="shared" si="485"/>
        <v>5857304.6533333398</v>
      </c>
      <c r="AN192" s="80">
        <f>+AP156</f>
        <v>0</v>
      </c>
      <c r="AO192" s="78" t="str">
        <f t="shared" ref="AO192:AO195" si="531">IF((AM192)&gt;0,IF(AN192&gt;0,AM192+AN192,""),"")</f>
        <v/>
      </c>
      <c r="AP192" s="214"/>
      <c r="AQ192" s="2"/>
      <c r="AR192" s="9"/>
    </row>
    <row r="193" spans="1:44" x14ac:dyDescent="0.25">
      <c r="A193" s="211"/>
      <c r="B193" s="211"/>
      <c r="C193" s="211"/>
      <c r="D193" s="211"/>
      <c r="E193" s="56">
        <v>3</v>
      </c>
      <c r="F193" s="2">
        <f>+H161</f>
        <v>47.32</v>
      </c>
      <c r="G193" s="56">
        <v>4</v>
      </c>
      <c r="H193" s="15">
        <f t="shared" ref="H193:H194" si="532">+H192</f>
        <v>46.765000000000001</v>
      </c>
      <c r="I193" s="2">
        <f t="shared" ref="I193:I194" si="533">+I192</f>
        <v>80</v>
      </c>
      <c r="J193" s="18">
        <f t="shared" si="473"/>
        <v>6.9374999999999966E-3</v>
      </c>
      <c r="K193" s="2">
        <f t="shared" ref="K193:K194" si="534">+K192</f>
        <v>948</v>
      </c>
      <c r="L193" s="15">
        <f t="shared" si="474"/>
        <v>13.275700000000001</v>
      </c>
      <c r="M193" s="33">
        <f t="shared" si="521"/>
        <v>1.32757E-2</v>
      </c>
      <c r="N193" s="33">
        <f t="shared" si="385"/>
        <v>0.13828569818226932</v>
      </c>
      <c r="O193" s="33">
        <f t="shared" si="386"/>
        <v>5.4443188260735953</v>
      </c>
      <c r="P193" s="58">
        <f t="shared" si="387"/>
        <v>6</v>
      </c>
      <c r="Q193" s="55">
        <f>IF(O193&gt;0,VLOOKUP(P193,'$ alcantarillado'!$I$5:$L$22,4,FALSE),"0")</f>
        <v>0.14499999999999999</v>
      </c>
      <c r="R193" s="55">
        <f t="shared" si="388"/>
        <v>1.5064893223453581E-2</v>
      </c>
      <c r="S193" s="35">
        <f t="shared" si="389"/>
        <v>0.88123425789250864</v>
      </c>
      <c r="T193" s="58">
        <f>+IF(S193&gt;$B$13,VLOOKUP(P193,'$ alcantarillado'!$I$6:$N$22,5),P193)</f>
        <v>8</v>
      </c>
      <c r="U193" s="55">
        <f>IF(O193&gt;0,VLOOKUP(T193,'$ alcantarillado'!$I$5:$L$22,4),"0")</f>
        <v>0.182</v>
      </c>
      <c r="V193" s="55">
        <f t="shared" si="390"/>
        <v>2.7616910119140928E-2</v>
      </c>
      <c r="W193" s="35">
        <f t="shared" si="504"/>
        <v>0.48070909970477765</v>
      </c>
      <c r="X193" s="35">
        <f t="shared" si="522"/>
        <v>1.0615548263219086</v>
      </c>
      <c r="Y193" s="55">
        <f>IF(T193&gt;0,(VLOOKUP($W193,Relaciones!$A$4:$D$108,2)),"")</f>
        <v>0.84</v>
      </c>
      <c r="Z193" s="35">
        <f t="shared" si="523"/>
        <v>0.89170605411040316</v>
      </c>
      <c r="AA193" s="35">
        <f t="shared" si="524"/>
        <v>0.31565624999999986</v>
      </c>
      <c r="AB193" s="46" t="str">
        <f t="shared" si="525"/>
        <v>OK</v>
      </c>
      <c r="AC193" s="46" t="str">
        <f t="shared" si="526"/>
        <v>OK</v>
      </c>
      <c r="AD193" s="46" t="str">
        <f t="shared" si="527"/>
        <v>OK</v>
      </c>
      <c r="AE193" s="48">
        <f t="shared" si="528"/>
        <v>1</v>
      </c>
      <c r="AF193" s="48">
        <f t="shared" si="528"/>
        <v>1</v>
      </c>
      <c r="AG193" s="48">
        <f t="shared" si="528"/>
        <v>1</v>
      </c>
      <c r="AH193" s="48">
        <f t="shared" si="529"/>
        <v>3</v>
      </c>
      <c r="AI193" s="46">
        <f t="shared" si="530"/>
        <v>0.68199999999999994</v>
      </c>
      <c r="AJ193" s="20">
        <f>IF(AI193&gt;0,I193*VLOOKUP(T193,'$ alcantarillado'!$I$6:$K$22,3),0)</f>
        <v>2654586.666666667</v>
      </c>
      <c r="AK193" s="20">
        <f t="shared" si="471"/>
        <v>3079311.840000004</v>
      </c>
      <c r="AL193" s="20">
        <f t="shared" si="472"/>
        <v>1313600.2420000019</v>
      </c>
      <c r="AM193" s="20">
        <f t="shared" si="485"/>
        <v>7047498.7486666739</v>
      </c>
      <c r="AN193" s="80">
        <f>+AP161</f>
        <v>5900568.248666672</v>
      </c>
      <c r="AO193" s="78">
        <f t="shared" si="531"/>
        <v>12948066.997333346</v>
      </c>
      <c r="AP193" s="215"/>
      <c r="AQ193" s="2">
        <v>3</v>
      </c>
      <c r="AR193" s="9">
        <v>4</v>
      </c>
    </row>
    <row r="194" spans="1:44" x14ac:dyDescent="0.25">
      <c r="A194" s="211"/>
      <c r="B194" s="211"/>
      <c r="C194" s="211"/>
      <c r="D194" s="211"/>
      <c r="E194" s="56">
        <v>4</v>
      </c>
      <c r="F194" s="2">
        <f>+H166</f>
        <v>47.195</v>
      </c>
      <c r="G194" s="56">
        <v>4</v>
      </c>
      <c r="H194" s="15">
        <f t="shared" si="532"/>
        <v>46.765000000000001</v>
      </c>
      <c r="I194" s="2">
        <f t="shared" si="533"/>
        <v>80</v>
      </c>
      <c r="J194" s="18">
        <f>+(F194-H194)/I194</f>
        <v>5.3749999999999961E-3</v>
      </c>
      <c r="K194" s="2">
        <f t="shared" si="534"/>
        <v>948</v>
      </c>
      <c r="L194" s="15">
        <f t="shared" si="474"/>
        <v>13.275700000000001</v>
      </c>
      <c r="M194" s="33">
        <f t="shared" si="521"/>
        <v>1.32757E-2</v>
      </c>
      <c r="N194" s="33">
        <f t="shared" si="385"/>
        <v>0.1450630704499157</v>
      </c>
      <c r="O194" s="33">
        <f t="shared" si="386"/>
        <v>5.711144505902193</v>
      </c>
      <c r="P194" s="58">
        <f t="shared" si="387"/>
        <v>6</v>
      </c>
      <c r="Q194" s="55">
        <f>IF(O194&gt;0,VLOOKUP(P194,'$ alcantarillado'!$I$5:$L$22,4,FALSE),"0")</f>
        <v>0.14499999999999999</v>
      </c>
      <c r="R194" s="55">
        <f t="shared" si="388"/>
        <v>1.3260313570181519E-2</v>
      </c>
      <c r="S194" s="35">
        <f t="shared" si="389"/>
        <v>1.0011603368002608</v>
      </c>
      <c r="T194" s="58">
        <f>+IF(S194&gt;$B$13,VLOOKUP(P194,'$ alcantarillado'!$I$6:$N$22,5),P194)</f>
        <v>8</v>
      </c>
      <c r="U194" s="55">
        <f>IF(O194&gt;0,VLOOKUP(T194,'$ alcantarillado'!$I$5:$L$22,4),"0")</f>
        <v>0.182</v>
      </c>
      <c r="V194" s="55">
        <f t="shared" si="390"/>
        <v>2.4308760944232927E-2</v>
      </c>
      <c r="W194" s="35">
        <f t="shared" si="504"/>
        <v>0.54612820581254518</v>
      </c>
      <c r="X194" s="35">
        <f t="shared" si="522"/>
        <v>0.9343942675314284</v>
      </c>
      <c r="Y194" s="55">
        <f>IF(T194&gt;0,(VLOOKUP($W194,Relaciones!$A$4:$D$108,2)),"")</f>
        <v>0.87</v>
      </c>
      <c r="Z194" s="35">
        <f t="shared" si="523"/>
        <v>0.81292301275234269</v>
      </c>
      <c r="AA194" s="35">
        <f t="shared" si="524"/>
        <v>0.24456249999999982</v>
      </c>
      <c r="AB194" s="46" t="str">
        <f t="shared" si="525"/>
        <v>OK</v>
      </c>
      <c r="AC194" s="46" t="str">
        <f t="shared" si="526"/>
        <v>OK</v>
      </c>
      <c r="AD194" s="46" t="str">
        <f t="shared" si="527"/>
        <v>OK</v>
      </c>
      <c r="AE194" s="48">
        <f t="shared" si="528"/>
        <v>1</v>
      </c>
      <c r="AF194" s="48">
        <f t="shared" si="528"/>
        <v>1</v>
      </c>
      <c r="AG194" s="48">
        <f t="shared" si="528"/>
        <v>1</v>
      </c>
      <c r="AH194" s="48">
        <f t="shared" si="529"/>
        <v>3</v>
      </c>
      <c r="AI194" s="46">
        <f t="shared" si="530"/>
        <v>0.68199999999999994</v>
      </c>
      <c r="AJ194" s="20">
        <f>IF(AI194&gt;0,I194*VLOOKUP(T194,'$ alcantarillado'!$I$6:$K$22,3),0)</f>
        <v>2654586.666666667</v>
      </c>
      <c r="AK194" s="20">
        <f t="shared" si="471"/>
        <v>3202071.840000004</v>
      </c>
      <c r="AL194" s="20">
        <f t="shared" si="472"/>
        <v>1400847.8670000019</v>
      </c>
      <c r="AM194" s="20">
        <f t="shared" si="485"/>
        <v>7257506.3736666739</v>
      </c>
      <c r="AN194" s="80">
        <f>+AP166</f>
        <v>5961948.248666672</v>
      </c>
      <c r="AO194" s="78">
        <f t="shared" si="531"/>
        <v>13219454.622333346</v>
      </c>
      <c r="AP194" s="215"/>
      <c r="AQ194" s="2"/>
      <c r="AR194" s="9"/>
    </row>
    <row r="195" spans="1:44" ht="15.75" thickBot="1" x14ac:dyDescent="0.3">
      <c r="A195" s="211"/>
      <c r="B195" s="211"/>
      <c r="C195" s="211"/>
      <c r="D195" s="211"/>
      <c r="E195" s="6">
        <v>5</v>
      </c>
      <c r="F195" s="16">
        <f>+H171</f>
        <v>47.07</v>
      </c>
      <c r="G195" s="6">
        <v>4</v>
      </c>
      <c r="H195" s="16">
        <f>+H194</f>
        <v>46.765000000000001</v>
      </c>
      <c r="I195" s="10">
        <f>+I194</f>
        <v>80</v>
      </c>
      <c r="J195" s="19">
        <f t="shared" si="473"/>
        <v>3.8124999999999964E-3</v>
      </c>
      <c r="K195" s="10">
        <f>+K194</f>
        <v>948</v>
      </c>
      <c r="L195" s="16">
        <f t="shared" si="474"/>
        <v>13.275700000000001</v>
      </c>
      <c r="M195" s="34">
        <f t="shared" si="521"/>
        <v>1.32757E-2</v>
      </c>
      <c r="N195" s="34">
        <f t="shared" si="385"/>
        <v>0.15471270563132869</v>
      </c>
      <c r="O195" s="34">
        <f t="shared" si="386"/>
        <v>6.0910514028082163</v>
      </c>
      <c r="P195" s="59">
        <f t="shared" si="387"/>
        <v>8</v>
      </c>
      <c r="Q195" s="55">
        <f>IF(O195&gt;0,VLOOKUP(P195,'$ alcantarillado'!$I$5:$L$22,4,FALSE),"0")</f>
        <v>0.182</v>
      </c>
      <c r="R195" s="47">
        <f t="shared" si="388"/>
        <v>2.0472859906691582E-2</v>
      </c>
      <c r="S195" s="35">
        <f t="shared" si="389"/>
        <v>0.64845361422420611</v>
      </c>
      <c r="T195" s="58">
        <f>+IF(S195&gt;$B$13,VLOOKUP(P195,'$ alcantarillado'!$I$6:$N$22,5),P195)</f>
        <v>8</v>
      </c>
      <c r="U195" s="55">
        <f>IF(O195&gt;0,VLOOKUP(T195,'$ alcantarillado'!$I$5:$L$22,4),"0")</f>
        <v>0.182</v>
      </c>
      <c r="V195" s="55">
        <f t="shared" si="390"/>
        <v>2.0472859906691582E-2</v>
      </c>
      <c r="W195" s="35">
        <f t="shared" si="504"/>
        <v>0.64845361422420611</v>
      </c>
      <c r="X195" s="35">
        <f t="shared" si="522"/>
        <v>0.78694767621732742</v>
      </c>
      <c r="Y195" s="55">
        <f>IF(T195&gt;0,(VLOOKUP($W195,Relaciones!$A$4:$D$108,2)),"")</f>
        <v>0.91800000000000004</v>
      </c>
      <c r="Z195" s="35">
        <f t="shared" si="523"/>
        <v>0.72241796676750658</v>
      </c>
      <c r="AA195" s="35">
        <f t="shared" si="524"/>
        <v>0.17346874999999984</v>
      </c>
      <c r="AB195" s="46" t="str">
        <f t="shared" si="525"/>
        <v>OK</v>
      </c>
      <c r="AC195" s="46" t="str">
        <f t="shared" si="526"/>
        <v>OK</v>
      </c>
      <c r="AD195" s="46" t="str">
        <f t="shared" si="527"/>
        <v>OK</v>
      </c>
      <c r="AE195" s="48">
        <f t="shared" si="528"/>
        <v>1</v>
      </c>
      <c r="AF195" s="48">
        <f t="shared" si="528"/>
        <v>1</v>
      </c>
      <c r="AG195" s="48">
        <f t="shared" si="528"/>
        <v>1</v>
      </c>
      <c r="AH195" s="48">
        <f t="shared" si="529"/>
        <v>3</v>
      </c>
      <c r="AI195" s="46">
        <f t="shared" si="530"/>
        <v>0.68199999999999994</v>
      </c>
      <c r="AJ195" s="22">
        <f>IF(AI195&gt;0,I195*VLOOKUP(T195,'$ alcantarillado'!$I$6:$K$22,3),0)</f>
        <v>2654586.666666667</v>
      </c>
      <c r="AK195" s="20">
        <f t="shared" si="471"/>
        <v>3324831.8400000031</v>
      </c>
      <c r="AL195" s="20">
        <f t="shared" si="472"/>
        <v>1488095.4920000019</v>
      </c>
      <c r="AM195" s="22">
        <f t="shared" si="485"/>
        <v>7467513.998666672</v>
      </c>
      <c r="AN195" s="82">
        <f>+AP171</f>
        <v>6023328.248666672</v>
      </c>
      <c r="AO195" s="79">
        <f t="shared" si="531"/>
        <v>13490842.247333344</v>
      </c>
      <c r="AP195" s="216"/>
      <c r="AQ195" s="10"/>
      <c r="AR195" s="11"/>
    </row>
    <row r="196" spans="1:44" x14ac:dyDescent="0.25">
      <c r="A196" s="211"/>
      <c r="B196" s="211"/>
      <c r="C196" s="211"/>
      <c r="D196" s="211"/>
      <c r="E196" s="4">
        <v>1</v>
      </c>
      <c r="F196" s="7">
        <f>+H151</f>
        <v>47.57</v>
      </c>
      <c r="G196" s="4">
        <v>5</v>
      </c>
      <c r="H196" s="14">
        <f>+H186-2*$B$15</f>
        <v>46.64</v>
      </c>
      <c r="I196" s="12">
        <f>+I191</f>
        <v>80</v>
      </c>
      <c r="J196" s="18">
        <f>+(F196-H196)/I196</f>
        <v>1.1624999999999996E-2</v>
      </c>
      <c r="K196" s="12">
        <f>+K191</f>
        <v>948</v>
      </c>
      <c r="L196" s="14">
        <f>IF(K196&lt;38,K196^0.3686*0.7401,IF(K196&lt;235,K196^0.4193*0.6215,IF(K196&lt;932,K196*0.0092+4.2493,K196*0.0069+6.7345)))</f>
        <v>13.275700000000001</v>
      </c>
      <c r="M196" s="31">
        <f>+L196/1000</f>
        <v>1.32757E-2</v>
      </c>
      <c r="N196" s="31">
        <f t="shared" si="385"/>
        <v>0.1255283002556522</v>
      </c>
      <c r="O196" s="31">
        <f t="shared" si="386"/>
        <v>4.942059065183158</v>
      </c>
      <c r="P196" s="57">
        <f t="shared" si="387"/>
        <v>6</v>
      </c>
      <c r="Q196" s="60">
        <f>IF(O196&gt;0,VLOOKUP(P196,'$ alcantarillado'!$I$5:$L$22,4,FALSE),"0")</f>
        <v>0.14499999999999999</v>
      </c>
      <c r="R196" s="60">
        <f t="shared" si="388"/>
        <v>1.9501186717674649E-2</v>
      </c>
      <c r="S196" s="27">
        <f t="shared" si="389"/>
        <v>0.68076369875315024</v>
      </c>
      <c r="T196" s="57">
        <f>+IF(S196&gt;$B$13,VLOOKUP(P196,'$ alcantarillado'!$I$6:$N$22,5),P196)</f>
        <v>6</v>
      </c>
      <c r="U196" s="60">
        <f>IF(O196&gt;0,VLOOKUP(T196,'$ alcantarillado'!$I$5:$L$22,4),"0")</f>
        <v>0.14499999999999999</v>
      </c>
      <c r="V196" s="60">
        <f t="shared" si="390"/>
        <v>1.9501186717674649E-2</v>
      </c>
      <c r="W196" s="27">
        <f t="shared" si="504"/>
        <v>0.68076369875315024</v>
      </c>
      <c r="X196" s="27">
        <f>IF(T196&gt;0,4*V196/(PI()*(U196)^2),"")</f>
        <v>1.1809599095461343</v>
      </c>
      <c r="Y196" s="60">
        <f>IF(T196&gt;0,(VLOOKUP($W196,Relaciones!$A$4:$D$108,2)),"")</f>
        <v>0.93600000000000005</v>
      </c>
      <c r="Z196" s="27">
        <f>IF(T196&gt;0,Y196*X196,"")</f>
        <v>1.1053784753351819</v>
      </c>
      <c r="AA196" s="27">
        <f>IF(T196&gt;0,250*U196*J196,"")</f>
        <v>0.42140624999999987</v>
      </c>
      <c r="AB196" s="45" t="str">
        <f>IF(T196&gt;0,IF(W196&lt;=$B$13,"OK","No Cumple"),"")</f>
        <v>OK</v>
      </c>
      <c r="AC196" s="45" t="str">
        <f>IF(T196&gt;0,IF(Z196&gt;=$B$12,"OK","No Cumple"),"")</f>
        <v>OK</v>
      </c>
      <c r="AD196" s="45" t="str">
        <f>IF(T196&gt;0,IF(AA196&gt;$B$14,"OK","No Cumple"),"")</f>
        <v>OK</v>
      </c>
      <c r="AE196" s="32">
        <f>+IF(AB196="OK",1,0)</f>
        <v>1</v>
      </c>
      <c r="AF196" s="32">
        <f>+IF(AC196="OK",1,0)</f>
        <v>1</v>
      </c>
      <c r="AG196" s="32">
        <f>+IF(AD196="OK",1,0)</f>
        <v>1</v>
      </c>
      <c r="AH196" s="32">
        <f>SUM(AE196:AG196)</f>
        <v>3</v>
      </c>
      <c r="AI196" s="45">
        <f>IF(AH196=3,2*$B$7+U196,0)</f>
        <v>0.64500000000000002</v>
      </c>
      <c r="AJ196" s="21">
        <f>IF(AI196&gt;0,I196*VLOOKUP(T196,'$ alcantarillado'!$I$6:$K$22,3),0)</f>
        <v>1912173.3333333335</v>
      </c>
      <c r="AK196" s="61">
        <f t="shared" si="471"/>
        <v>2686554.0000000042</v>
      </c>
      <c r="AL196" s="61">
        <f t="shared" si="472"/>
        <v>1113279.6950000019</v>
      </c>
      <c r="AM196" s="21">
        <f>IF(AJ196&gt;0,AJ196+AK196+AL196,0)</f>
        <v>5712007.0283333398</v>
      </c>
      <c r="AN196" s="81">
        <f>IF(AP151&gt;0,+AP151,0)</f>
        <v>0</v>
      </c>
      <c r="AO196" s="77" t="str">
        <f>IF((AM196)&gt;0,IF(AN196&gt;0,AM196+AN196,""),"")</f>
        <v/>
      </c>
      <c r="AP196" s="213">
        <f>+MIN(AO196:AO200)</f>
        <v>12019270.527000012</v>
      </c>
      <c r="AQ196" s="2"/>
      <c r="AR196" s="9"/>
    </row>
    <row r="197" spans="1:44" x14ac:dyDescent="0.25">
      <c r="A197" s="211"/>
      <c r="B197" s="211"/>
      <c r="C197" s="211"/>
      <c r="D197" s="211"/>
      <c r="E197" s="5">
        <v>2</v>
      </c>
      <c r="F197" s="2">
        <f>+H156</f>
        <v>47.445</v>
      </c>
      <c r="G197" s="5">
        <v>5</v>
      </c>
      <c r="H197" s="15">
        <f>+H196</f>
        <v>46.64</v>
      </c>
      <c r="I197" s="2">
        <f>+I196</f>
        <v>80</v>
      </c>
      <c r="J197" s="18">
        <f t="shared" si="473"/>
        <v>1.0062499999999997E-2</v>
      </c>
      <c r="K197" s="2">
        <f>+K196</f>
        <v>948</v>
      </c>
      <c r="L197" s="15">
        <f t="shared" si="474"/>
        <v>13.275700000000001</v>
      </c>
      <c r="M197" s="33">
        <f t="shared" ref="M197:M200" si="535">+L197/1000</f>
        <v>1.32757E-2</v>
      </c>
      <c r="N197" s="33">
        <f t="shared" si="385"/>
        <v>0.12897201154864099</v>
      </c>
      <c r="O197" s="33">
        <f t="shared" si="386"/>
        <v>5.0776382499464958</v>
      </c>
      <c r="P197" s="58">
        <f t="shared" si="387"/>
        <v>6</v>
      </c>
      <c r="Q197" s="55">
        <f>IF(O197&gt;0,VLOOKUP(P197,'$ alcantarillado'!$I$5:$L$22,4,FALSE),"0")</f>
        <v>0.14499999999999999</v>
      </c>
      <c r="R197" s="55">
        <f t="shared" si="388"/>
        <v>1.8143351166283826E-2</v>
      </c>
      <c r="S197" s="35">
        <f t="shared" si="389"/>
        <v>0.73171157182199698</v>
      </c>
      <c r="T197" s="58">
        <f>+IF(S197&gt;$B$13,VLOOKUP(P197,'$ alcantarillado'!$I$6:$N$22,5),P197)</f>
        <v>6</v>
      </c>
      <c r="U197" s="55">
        <f>IF(O197&gt;0,VLOOKUP(T197,'$ alcantarillado'!$I$5:$L$22,4),"0")</f>
        <v>0.14499999999999999</v>
      </c>
      <c r="V197" s="55">
        <f t="shared" si="390"/>
        <v>1.8143351166283826E-2</v>
      </c>
      <c r="W197" s="35">
        <f t="shared" si="504"/>
        <v>0.73171157182199698</v>
      </c>
      <c r="X197" s="35">
        <f t="shared" ref="X197:X200" si="536">IF(T197&gt;0,4*V197/(PI()*(U197)^2),"")</f>
        <v>1.0987316137421832</v>
      </c>
      <c r="Y197" s="55">
        <f>IF(T197&gt;0,(VLOOKUP($W197,Relaciones!$A$4:$D$108,2)),"")</f>
        <v>0.95799999999999996</v>
      </c>
      <c r="Z197" s="35">
        <f t="shared" ref="Z197:Z200" si="537">IF(T197&gt;0,Y197*X197,"")</f>
        <v>1.0525848859650115</v>
      </c>
      <c r="AA197" s="35">
        <f t="shared" ref="AA197:AA200" si="538">IF(T197&gt;0,250*U197*J197,"")</f>
        <v>0.36476562499999987</v>
      </c>
      <c r="AB197" s="46" t="str">
        <f t="shared" ref="AB197:AB200" si="539">IF(T197&gt;0,IF(W197&lt;=$B$13,"OK","No Cumple"),"")</f>
        <v>OK</v>
      </c>
      <c r="AC197" s="46" t="str">
        <f t="shared" ref="AC197:AC200" si="540">IF(T197&gt;0,IF(Z197&gt;=$B$12,"OK","No Cumple"),"")</f>
        <v>OK</v>
      </c>
      <c r="AD197" s="46" t="str">
        <f t="shared" ref="AD197:AD200" si="541">IF(T197&gt;0,IF(AA197&gt;$B$14,"OK","No Cumple"),"")</f>
        <v>OK</v>
      </c>
      <c r="AE197" s="48">
        <f t="shared" ref="AE197:AG200" si="542">+IF(AB197="OK",1,0)</f>
        <v>1</v>
      </c>
      <c r="AF197" s="48">
        <f t="shared" si="542"/>
        <v>1</v>
      </c>
      <c r="AG197" s="48">
        <f t="shared" si="542"/>
        <v>1</v>
      </c>
      <c r="AH197" s="48">
        <f t="shared" ref="AH197:AH200" si="543">SUM(AE197:AG197)</f>
        <v>3</v>
      </c>
      <c r="AI197" s="46">
        <f t="shared" ref="AI197:AI200" si="544">IF(AH197=3,2*$B$7+U197,0)</f>
        <v>0.64500000000000002</v>
      </c>
      <c r="AJ197" s="20">
        <f>IF(AI197&gt;0,I197*VLOOKUP(T197,'$ alcantarillado'!$I$6:$K$22,3),0)</f>
        <v>1912173.3333333335</v>
      </c>
      <c r="AK197" s="20">
        <f t="shared" si="471"/>
        <v>2802654.0000000047</v>
      </c>
      <c r="AL197" s="20">
        <f t="shared" si="472"/>
        <v>1200527.3200000019</v>
      </c>
      <c r="AM197" s="20">
        <f t="shared" si="485"/>
        <v>5915354.6533333398</v>
      </c>
      <c r="AN197" s="80">
        <f>+AP156</f>
        <v>0</v>
      </c>
      <c r="AO197" s="78" t="str">
        <f t="shared" ref="AO197:AO200" si="545">IF((AM197)&gt;0,IF(AN197&gt;0,AM197+AN197,""),"")</f>
        <v/>
      </c>
      <c r="AP197" s="214"/>
      <c r="AQ197" s="2"/>
      <c r="AR197" s="9"/>
    </row>
    <row r="198" spans="1:44" x14ac:dyDescent="0.25">
      <c r="A198" s="211"/>
      <c r="B198" s="211"/>
      <c r="C198" s="211"/>
      <c r="D198" s="211"/>
      <c r="E198" s="56">
        <v>3</v>
      </c>
      <c r="F198" s="2">
        <f>+H161</f>
        <v>47.32</v>
      </c>
      <c r="G198" s="56">
        <v>5</v>
      </c>
      <c r="H198" s="15">
        <f t="shared" ref="H198:H199" si="546">+H197</f>
        <v>46.64</v>
      </c>
      <c r="I198" s="2">
        <f t="shared" ref="I198:I199" si="547">+I197</f>
        <v>80</v>
      </c>
      <c r="J198" s="18">
        <f t="shared" si="473"/>
        <v>8.4999999999999971E-3</v>
      </c>
      <c r="K198" s="2">
        <f t="shared" ref="K198:K199" si="548">+K197</f>
        <v>948</v>
      </c>
      <c r="L198" s="15">
        <f t="shared" si="474"/>
        <v>13.275700000000001</v>
      </c>
      <c r="M198" s="33">
        <f t="shared" si="535"/>
        <v>1.32757E-2</v>
      </c>
      <c r="N198" s="33">
        <f t="shared" si="385"/>
        <v>0.13311799873800181</v>
      </c>
      <c r="O198" s="33">
        <f t="shared" si="386"/>
        <v>5.240866092047316</v>
      </c>
      <c r="P198" s="58">
        <f t="shared" si="387"/>
        <v>6</v>
      </c>
      <c r="Q198" s="55">
        <f>IF(O198&gt;0,VLOOKUP(P198,'$ alcantarillado'!$I$5:$L$22,4,FALSE),"0")</f>
        <v>0.14499999999999999</v>
      </c>
      <c r="R198" s="55">
        <f t="shared" si="388"/>
        <v>1.6675314080657526E-2</v>
      </c>
      <c r="S198" s="35">
        <f t="shared" si="389"/>
        <v>0.79612893261177631</v>
      </c>
      <c r="T198" s="58">
        <f>+IF(S198&gt;$B$13,VLOOKUP(P198,'$ alcantarillado'!$I$6:$N$22,5),P198)</f>
        <v>6</v>
      </c>
      <c r="U198" s="55">
        <f>IF(O198&gt;0,VLOOKUP(T198,'$ alcantarillado'!$I$5:$L$22,4),"0")</f>
        <v>0.14499999999999999</v>
      </c>
      <c r="V198" s="55">
        <f t="shared" si="390"/>
        <v>1.6675314080657526E-2</v>
      </c>
      <c r="W198" s="35">
        <f t="shared" si="504"/>
        <v>0.79612893261177631</v>
      </c>
      <c r="X198" s="35">
        <f t="shared" si="536"/>
        <v>1.0098296936205584</v>
      </c>
      <c r="Y198" s="55">
        <f>IF(T198&gt;0,(VLOOKUP($W198,Relaciones!$A$4:$D$108,2)),"")</f>
        <v>0.98</v>
      </c>
      <c r="Z198" s="35">
        <f t="shared" si="537"/>
        <v>0.98963309974814717</v>
      </c>
      <c r="AA198" s="35">
        <f t="shared" si="538"/>
        <v>0.30812499999999987</v>
      </c>
      <c r="AB198" s="46" t="str">
        <f t="shared" si="539"/>
        <v>OK</v>
      </c>
      <c r="AC198" s="46" t="str">
        <f t="shared" si="540"/>
        <v>OK</v>
      </c>
      <c r="AD198" s="46" t="str">
        <f t="shared" si="541"/>
        <v>OK</v>
      </c>
      <c r="AE198" s="48">
        <f t="shared" si="542"/>
        <v>1</v>
      </c>
      <c r="AF198" s="48">
        <f t="shared" si="542"/>
        <v>1</v>
      </c>
      <c r="AG198" s="48">
        <f t="shared" si="542"/>
        <v>1</v>
      </c>
      <c r="AH198" s="48">
        <f t="shared" si="543"/>
        <v>3</v>
      </c>
      <c r="AI198" s="46">
        <f t="shared" si="544"/>
        <v>0.64500000000000002</v>
      </c>
      <c r="AJ198" s="20">
        <f>IF(AI198&gt;0,I198*VLOOKUP(T198,'$ alcantarillado'!$I$6:$K$22,3),0)</f>
        <v>1912173.3333333335</v>
      </c>
      <c r="AK198" s="20">
        <f t="shared" si="471"/>
        <v>2918754.0000000047</v>
      </c>
      <c r="AL198" s="20">
        <f t="shared" si="472"/>
        <v>1287774.9450000019</v>
      </c>
      <c r="AM198" s="20">
        <f t="shared" si="485"/>
        <v>6118702.2783333398</v>
      </c>
      <c r="AN198" s="80">
        <f>+AP161</f>
        <v>5900568.248666672</v>
      </c>
      <c r="AO198" s="78">
        <f t="shared" si="545"/>
        <v>12019270.527000012</v>
      </c>
      <c r="AP198" s="215"/>
      <c r="AQ198" s="2">
        <v>3</v>
      </c>
      <c r="AR198" s="9">
        <v>5</v>
      </c>
    </row>
    <row r="199" spans="1:44" x14ac:dyDescent="0.25">
      <c r="A199" s="211"/>
      <c r="B199" s="211"/>
      <c r="C199" s="211"/>
      <c r="D199" s="211"/>
      <c r="E199" s="56">
        <v>4</v>
      </c>
      <c r="F199" s="2">
        <f>+H166</f>
        <v>47.195</v>
      </c>
      <c r="G199" s="56">
        <v>5</v>
      </c>
      <c r="H199" s="15">
        <f t="shared" si="546"/>
        <v>46.64</v>
      </c>
      <c r="I199" s="2">
        <f t="shared" si="547"/>
        <v>80</v>
      </c>
      <c r="J199" s="18">
        <f>+(F199-H199)/I199</f>
        <v>6.9374999999999966E-3</v>
      </c>
      <c r="K199" s="2">
        <f t="shared" si="548"/>
        <v>948</v>
      </c>
      <c r="L199" s="15">
        <f t="shared" si="474"/>
        <v>13.275700000000001</v>
      </c>
      <c r="M199" s="33">
        <f t="shared" si="535"/>
        <v>1.32757E-2</v>
      </c>
      <c r="N199" s="33">
        <f t="shared" si="385"/>
        <v>0.13828569818226932</v>
      </c>
      <c r="O199" s="33">
        <f t="shared" si="386"/>
        <v>5.4443188260735953</v>
      </c>
      <c r="P199" s="58">
        <f t="shared" si="387"/>
        <v>6</v>
      </c>
      <c r="Q199" s="55">
        <f>IF(O199&gt;0,VLOOKUP(P199,'$ alcantarillado'!$I$5:$L$22,4,FALSE),"0")</f>
        <v>0.14499999999999999</v>
      </c>
      <c r="R199" s="55">
        <f t="shared" si="388"/>
        <v>1.5064893223453581E-2</v>
      </c>
      <c r="S199" s="35">
        <f t="shared" si="389"/>
        <v>0.88123425789250864</v>
      </c>
      <c r="T199" s="58">
        <f>+IF(S199&gt;$B$13,VLOOKUP(P199,'$ alcantarillado'!$I$6:$N$22,5),P199)</f>
        <v>8</v>
      </c>
      <c r="U199" s="55">
        <f>IF(O199&gt;0,VLOOKUP(T199,'$ alcantarillado'!$I$5:$L$22,4),"0")</f>
        <v>0.182</v>
      </c>
      <c r="V199" s="55">
        <f t="shared" si="390"/>
        <v>2.7616910119140928E-2</v>
      </c>
      <c r="W199" s="35">
        <f t="shared" si="504"/>
        <v>0.48070909970477765</v>
      </c>
      <c r="X199" s="35">
        <f t="shared" si="536"/>
        <v>1.0615548263219086</v>
      </c>
      <c r="Y199" s="55">
        <f>IF(T199&gt;0,(VLOOKUP($W199,Relaciones!$A$4:$D$108,2)),"")</f>
        <v>0.84</v>
      </c>
      <c r="Z199" s="35">
        <f t="shared" si="537"/>
        <v>0.89170605411040316</v>
      </c>
      <c r="AA199" s="35">
        <f t="shared" si="538"/>
        <v>0.31565624999999986</v>
      </c>
      <c r="AB199" s="46" t="str">
        <f t="shared" si="539"/>
        <v>OK</v>
      </c>
      <c r="AC199" s="46" t="str">
        <f t="shared" si="540"/>
        <v>OK</v>
      </c>
      <c r="AD199" s="46" t="str">
        <f t="shared" si="541"/>
        <v>OK</v>
      </c>
      <c r="AE199" s="48">
        <f t="shared" si="542"/>
        <v>1</v>
      </c>
      <c r="AF199" s="48">
        <f t="shared" si="542"/>
        <v>1</v>
      </c>
      <c r="AG199" s="48">
        <f t="shared" si="542"/>
        <v>1</v>
      </c>
      <c r="AH199" s="48">
        <f t="shared" si="543"/>
        <v>3</v>
      </c>
      <c r="AI199" s="46">
        <f t="shared" si="544"/>
        <v>0.68199999999999994</v>
      </c>
      <c r="AJ199" s="20">
        <f>IF(AI199&gt;0,I199*VLOOKUP(T199,'$ alcantarillado'!$I$6:$K$22,3),0)</f>
        <v>2654586.666666667</v>
      </c>
      <c r="AK199" s="20">
        <f t="shared" si="471"/>
        <v>3263451.840000004</v>
      </c>
      <c r="AL199" s="20">
        <f t="shared" si="472"/>
        <v>1400847.8670000019</v>
      </c>
      <c r="AM199" s="20">
        <f t="shared" si="485"/>
        <v>7318886.3736666739</v>
      </c>
      <c r="AN199" s="80">
        <f>+AP166</f>
        <v>5961948.248666672</v>
      </c>
      <c r="AO199" s="78">
        <f t="shared" si="545"/>
        <v>13280834.622333346</v>
      </c>
      <c r="AP199" s="215"/>
      <c r="AQ199" s="2"/>
      <c r="AR199" s="9"/>
    </row>
    <row r="200" spans="1:44" ht="15.75" thickBot="1" x14ac:dyDescent="0.3">
      <c r="A200" s="212"/>
      <c r="B200" s="212"/>
      <c r="C200" s="212"/>
      <c r="D200" s="212"/>
      <c r="E200" s="6">
        <v>5</v>
      </c>
      <c r="F200" s="16">
        <f>+H171</f>
        <v>47.07</v>
      </c>
      <c r="G200" s="6">
        <v>5</v>
      </c>
      <c r="H200" s="16">
        <f>+H199</f>
        <v>46.64</v>
      </c>
      <c r="I200" s="10">
        <f>+I199</f>
        <v>80</v>
      </c>
      <c r="J200" s="19">
        <f t="shared" si="473"/>
        <v>5.3749999999999961E-3</v>
      </c>
      <c r="K200" s="10">
        <f>+K199</f>
        <v>948</v>
      </c>
      <c r="L200" s="16">
        <f t="shared" si="474"/>
        <v>13.275700000000001</v>
      </c>
      <c r="M200" s="34">
        <f t="shared" si="535"/>
        <v>1.32757E-2</v>
      </c>
      <c r="N200" s="34">
        <f t="shared" si="385"/>
        <v>0.1450630704499157</v>
      </c>
      <c r="O200" s="34">
        <f t="shared" si="386"/>
        <v>5.711144505902193</v>
      </c>
      <c r="P200" s="59">
        <f t="shared" si="387"/>
        <v>6</v>
      </c>
      <c r="Q200" s="110">
        <f>IF(O200&gt;0,VLOOKUP(P200,'$ alcantarillado'!$I$5:$L$22,4,FALSE),"0")</f>
        <v>0.14499999999999999</v>
      </c>
      <c r="R200" s="47">
        <f t="shared" si="388"/>
        <v>1.3260313570181519E-2</v>
      </c>
      <c r="S200" s="65">
        <f t="shared" si="389"/>
        <v>1.0011603368002608</v>
      </c>
      <c r="T200" s="59">
        <f>+IF(S200&gt;$B$13,VLOOKUP(P200,'$ alcantarillado'!$I$6:$N$22,5),P200)</f>
        <v>8</v>
      </c>
      <c r="U200" s="47">
        <f>IF(O200&gt;0,VLOOKUP(T200,'$ alcantarillado'!$I$5:$L$22,4),"0")</f>
        <v>0.182</v>
      </c>
      <c r="V200" s="47">
        <f t="shared" si="390"/>
        <v>2.4308760944232927E-2</v>
      </c>
      <c r="W200" s="65">
        <f t="shared" si="504"/>
        <v>0.54612820581254518</v>
      </c>
      <c r="X200" s="65">
        <f t="shared" si="536"/>
        <v>0.9343942675314284</v>
      </c>
      <c r="Y200" s="47">
        <f>IF(T200&gt;0,(VLOOKUP($W200,Relaciones!$A$4:$D$108,2)),"")</f>
        <v>0.87</v>
      </c>
      <c r="Z200" s="65">
        <f t="shared" si="537"/>
        <v>0.81292301275234269</v>
      </c>
      <c r="AA200" s="65">
        <f t="shared" si="538"/>
        <v>0.24456249999999982</v>
      </c>
      <c r="AB200" s="110" t="str">
        <f t="shared" si="539"/>
        <v>OK</v>
      </c>
      <c r="AC200" s="110" t="str">
        <f t="shared" si="540"/>
        <v>OK</v>
      </c>
      <c r="AD200" s="110" t="str">
        <f t="shared" si="541"/>
        <v>OK</v>
      </c>
      <c r="AE200" s="111">
        <f t="shared" si="542"/>
        <v>1</v>
      </c>
      <c r="AF200" s="111">
        <f t="shared" si="542"/>
        <v>1</v>
      </c>
      <c r="AG200" s="111">
        <f t="shared" si="542"/>
        <v>1</v>
      </c>
      <c r="AH200" s="111">
        <f t="shared" si="543"/>
        <v>3</v>
      </c>
      <c r="AI200" s="110">
        <f t="shared" si="544"/>
        <v>0.68199999999999994</v>
      </c>
      <c r="AJ200" s="22">
        <f>IF(AI200&gt;0,I200*VLOOKUP(T200,'$ alcantarillado'!$I$6:$K$22,3),0)</f>
        <v>2654586.666666667</v>
      </c>
      <c r="AK200" s="22">
        <f t="shared" si="471"/>
        <v>3386211.8400000036</v>
      </c>
      <c r="AL200" s="22">
        <f t="shared" si="472"/>
        <v>1488095.4920000019</v>
      </c>
      <c r="AM200" s="22">
        <f t="shared" si="485"/>
        <v>7528893.998666672</v>
      </c>
      <c r="AN200" s="82">
        <f>+AP171</f>
        <v>6023328.248666672</v>
      </c>
      <c r="AO200" s="79">
        <f t="shared" si="545"/>
        <v>13552222.247333344</v>
      </c>
      <c r="AP200" s="216"/>
      <c r="AQ200" s="109"/>
      <c r="AR200" s="11"/>
    </row>
    <row r="201" spans="1:44" x14ac:dyDescent="0.25">
      <c r="D201" s="53">
        <v>49.09</v>
      </c>
      <c r="AA201" s="2"/>
      <c r="AF201" s="2"/>
      <c r="AH201" s="2"/>
    </row>
    <row r="203" spans="1:44" x14ac:dyDescent="0.25">
      <c r="AO203">
        <f>+COUNTBLANK(AO23:AO200)</f>
        <v>71</v>
      </c>
    </row>
  </sheetData>
  <mergeCells count="99">
    <mergeCell ref="A176:A200"/>
    <mergeCell ref="B176:B200"/>
    <mergeCell ref="C176:C200"/>
    <mergeCell ref="D176:D200"/>
    <mergeCell ref="AP176:AP180"/>
    <mergeCell ref="AP181:AP185"/>
    <mergeCell ref="AP186:AP190"/>
    <mergeCell ref="AP191:AP195"/>
    <mergeCell ref="AP196:AP200"/>
    <mergeCell ref="A151:A175"/>
    <mergeCell ref="B151:B175"/>
    <mergeCell ref="C151:C175"/>
    <mergeCell ref="D151:D175"/>
    <mergeCell ref="AP151:AP155"/>
    <mergeCell ref="AP156:AP160"/>
    <mergeCell ref="AP161:AP165"/>
    <mergeCell ref="AP166:AP170"/>
    <mergeCell ref="AP171:AP175"/>
    <mergeCell ref="A123:A147"/>
    <mergeCell ref="B123:B147"/>
    <mergeCell ref="C123:C147"/>
    <mergeCell ref="D123:D147"/>
    <mergeCell ref="AP123:AP127"/>
    <mergeCell ref="AP128:AP132"/>
    <mergeCell ref="AP133:AP137"/>
    <mergeCell ref="AP138:AP142"/>
    <mergeCell ref="AP143:AP147"/>
    <mergeCell ref="A98:A122"/>
    <mergeCell ref="B98:B122"/>
    <mergeCell ref="C98:C122"/>
    <mergeCell ref="D98:D122"/>
    <mergeCell ref="AP98:AP102"/>
    <mergeCell ref="AP103:AP107"/>
    <mergeCell ref="AP108:AP112"/>
    <mergeCell ref="AP113:AP117"/>
    <mergeCell ref="AP118:AP122"/>
    <mergeCell ref="AP63:AP67"/>
    <mergeCell ref="AP68:AP72"/>
    <mergeCell ref="A73:A97"/>
    <mergeCell ref="B73:B97"/>
    <mergeCell ref="C73:C97"/>
    <mergeCell ref="D73:D97"/>
    <mergeCell ref="AP73:AP77"/>
    <mergeCell ref="AP78:AP82"/>
    <mergeCell ref="AP83:AP87"/>
    <mergeCell ref="AP88:AP92"/>
    <mergeCell ref="AP93:AP97"/>
    <mergeCell ref="AP28:AP32"/>
    <mergeCell ref="AP33:AP37"/>
    <mergeCell ref="AP38:AP42"/>
    <mergeCell ref="AP43:AP47"/>
    <mergeCell ref="A48:A72"/>
    <mergeCell ref="B48:B72"/>
    <mergeCell ref="C48:C72"/>
    <mergeCell ref="D48:D72"/>
    <mergeCell ref="AP48:AP52"/>
    <mergeCell ref="AP53:AP57"/>
    <mergeCell ref="A23:A47"/>
    <mergeCell ref="B23:B47"/>
    <mergeCell ref="C23:C47"/>
    <mergeCell ref="D23:D47"/>
    <mergeCell ref="AP23:AP27"/>
    <mergeCell ref="AP58:AP62"/>
    <mergeCell ref="AD20:AD21"/>
    <mergeCell ref="AE20:AH21"/>
    <mergeCell ref="AI20:AI21"/>
    <mergeCell ref="AJ20:AL20"/>
    <mergeCell ref="AQ20:AR20"/>
    <mergeCell ref="N20:N21"/>
    <mergeCell ref="O20:O21"/>
    <mergeCell ref="P20:P21"/>
    <mergeCell ref="AC20:AC21"/>
    <mergeCell ref="R20:R21"/>
    <mergeCell ref="S20:S21"/>
    <mergeCell ref="T20:T21"/>
    <mergeCell ref="U20:U21"/>
    <mergeCell ref="V20:V21"/>
    <mergeCell ref="W20:W21"/>
    <mergeCell ref="X20:X21"/>
    <mergeCell ref="Y20:Y21"/>
    <mergeCell ref="Z20:Z21"/>
    <mergeCell ref="AA20:AA21"/>
    <mergeCell ref="AB20:AB21"/>
    <mergeCell ref="E20:E21"/>
    <mergeCell ref="A16:AR16"/>
    <mergeCell ref="B8:C8"/>
    <mergeCell ref="A20:A22"/>
    <mergeCell ref="B20:B22"/>
    <mergeCell ref="C20:C22"/>
    <mergeCell ref="D20:D22"/>
    <mergeCell ref="Q20:Q21"/>
    <mergeCell ref="F20:F21"/>
    <mergeCell ref="G20:G21"/>
    <mergeCell ref="H20:H21"/>
    <mergeCell ref="I20:I21"/>
    <mergeCell ref="J20:J21"/>
    <mergeCell ref="K20:K21"/>
    <mergeCell ref="L20:L21"/>
    <mergeCell ref="M20:M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32767" scale="4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2:AR203"/>
  <sheetViews>
    <sheetView view="pageBreakPreview" zoomScale="55" zoomScaleNormal="70" zoomScaleSheetLayoutView="55" workbookViewId="0"/>
  </sheetViews>
  <sheetFormatPr baseColWidth="10" defaultRowHeight="15" x14ac:dyDescent="0.25"/>
  <cols>
    <col min="1" max="1" width="9.85546875" customWidth="1"/>
    <col min="2" max="2" width="11.5703125" customWidth="1"/>
    <col min="3" max="3" width="18" customWidth="1"/>
    <col min="4" max="4" width="10" customWidth="1"/>
    <col min="5" max="5" width="18.140625" customWidth="1"/>
    <col min="6" max="6" width="10" customWidth="1"/>
    <col min="7" max="7" width="18.28515625" customWidth="1"/>
    <col min="8" max="8" width="10" customWidth="1"/>
    <col min="9" max="9" width="16.28515625" customWidth="1"/>
    <col min="10" max="12" width="14.85546875" customWidth="1"/>
    <col min="13" max="13" width="14.42578125" customWidth="1"/>
    <col min="14" max="14" width="10.5703125" customWidth="1"/>
    <col min="15" max="15" width="10" customWidth="1"/>
    <col min="16" max="16" width="14.140625" customWidth="1"/>
    <col min="17" max="17" width="14.85546875" customWidth="1"/>
    <col min="18" max="18" width="11" customWidth="1"/>
    <col min="19" max="19" width="8.5703125" customWidth="1"/>
    <col min="20" max="20" width="16.5703125" customWidth="1"/>
    <col min="21" max="21" width="14.5703125" customWidth="1"/>
    <col min="22" max="23" width="8.5703125" customWidth="1"/>
    <col min="24" max="24" width="13.5703125" customWidth="1"/>
    <col min="25" max="27" width="10.140625" customWidth="1"/>
    <col min="28" max="29" width="11" bestFit="1" customWidth="1"/>
    <col min="30" max="30" width="15.140625" bestFit="1" customWidth="1"/>
    <col min="31" max="31" width="5.85546875" bestFit="1" customWidth="1"/>
    <col min="32" max="32" width="4" customWidth="1"/>
    <col min="33" max="33" width="4.140625" customWidth="1"/>
    <col min="34" max="34" width="9.5703125" bestFit="1" customWidth="1"/>
    <col min="35" max="35" width="14.42578125" customWidth="1"/>
    <col min="36" max="36" width="20.140625" customWidth="1"/>
    <col min="37" max="37" width="18.85546875" customWidth="1"/>
    <col min="38" max="38" width="19.28515625" customWidth="1"/>
    <col min="39" max="39" width="20" customWidth="1"/>
    <col min="40" max="40" width="20.28515625" customWidth="1"/>
    <col min="41" max="41" width="22.140625" customWidth="1"/>
    <col min="42" max="42" width="19" customWidth="1"/>
    <col min="43" max="44" width="10" customWidth="1"/>
    <col min="45" max="45" width="2.28515625" customWidth="1"/>
    <col min="46" max="46" width="6.7109375" bestFit="1" customWidth="1"/>
  </cols>
  <sheetData>
    <row r="2" spans="1:44" x14ac:dyDescent="0.25">
      <c r="A2" t="s">
        <v>1</v>
      </c>
      <c r="B2">
        <v>0.01</v>
      </c>
    </row>
    <row r="3" spans="1:44" x14ac:dyDescent="0.25">
      <c r="A3" t="s">
        <v>2</v>
      </c>
      <c r="B3" s="29">
        <f>0.5+N23</f>
        <v>0.63410267267565756</v>
      </c>
      <c r="C3" t="s">
        <v>37</v>
      </c>
    </row>
    <row r="4" spans="1:44" x14ac:dyDescent="0.25">
      <c r="A4" s="28" t="s">
        <v>3</v>
      </c>
      <c r="B4" s="28">
        <v>0.5</v>
      </c>
      <c r="C4" s="28" t="s">
        <v>37</v>
      </c>
      <c r="G4" t="s">
        <v>41</v>
      </c>
      <c r="H4">
        <v>158</v>
      </c>
    </row>
    <row r="5" spans="1:44" x14ac:dyDescent="0.25">
      <c r="A5" t="s">
        <v>26</v>
      </c>
      <c r="B5">
        <v>1.2</v>
      </c>
      <c r="C5" t="s">
        <v>37</v>
      </c>
      <c r="G5" t="s">
        <v>42</v>
      </c>
      <c r="H5">
        <f>10+4+2+1</f>
        <v>17</v>
      </c>
      <c r="AO5">
        <f>0.5/5</f>
        <v>0.1</v>
      </c>
    </row>
    <row r="6" spans="1:44" x14ac:dyDescent="0.25">
      <c r="A6" t="s">
        <v>27</v>
      </c>
      <c r="B6">
        <v>1</v>
      </c>
      <c r="G6" t="s">
        <v>43</v>
      </c>
      <c r="H6">
        <f>10+3*4+4*1</f>
        <v>26</v>
      </c>
      <c r="AL6" s="37">
        <v>0.5</v>
      </c>
    </row>
    <row r="7" spans="1:44" x14ac:dyDescent="0.25">
      <c r="A7" t="s">
        <v>50</v>
      </c>
      <c r="B7">
        <v>0.25</v>
      </c>
      <c r="C7" t="s">
        <v>37</v>
      </c>
      <c r="G7" t="s">
        <v>44</v>
      </c>
      <c r="H7">
        <f>1+30+3+(145)</f>
        <v>179</v>
      </c>
      <c r="AK7">
        <v>80</v>
      </c>
      <c r="AL7">
        <f>+AL6/100</f>
        <v>5.0000000000000001E-3</v>
      </c>
      <c r="AM7">
        <f>+AK7*AL7</f>
        <v>0.4</v>
      </c>
      <c r="AN7">
        <f>+AK7-AM7</f>
        <v>79.599999999999994</v>
      </c>
    </row>
    <row r="8" spans="1:44" x14ac:dyDescent="0.25">
      <c r="B8" s="236"/>
      <c r="C8" s="236"/>
      <c r="G8" t="s">
        <v>45</v>
      </c>
      <c r="H8">
        <f>1+10</f>
        <v>11</v>
      </c>
    </row>
    <row r="9" spans="1:44" x14ac:dyDescent="0.25">
      <c r="A9" s="184" t="s">
        <v>99</v>
      </c>
      <c r="B9" s="182" t="s">
        <v>39</v>
      </c>
      <c r="C9" s="183">
        <v>18000</v>
      </c>
    </row>
    <row r="10" spans="1:44" x14ac:dyDescent="0.25">
      <c r="A10" s="184" t="s">
        <v>100</v>
      </c>
      <c r="B10" s="74" t="s">
        <v>40</v>
      </c>
      <c r="C10" s="71">
        <v>697981</v>
      </c>
      <c r="G10" t="s">
        <v>46</v>
      </c>
      <c r="H10">
        <f>5+70+7+20</f>
        <v>102</v>
      </c>
      <c r="P10" s="36"/>
      <c r="Q10" s="37"/>
      <c r="R10" s="3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72"/>
      <c r="AK10" s="72"/>
      <c r="AL10" s="72"/>
    </row>
    <row r="11" spans="1:44" x14ac:dyDescent="0.25">
      <c r="G11" t="s">
        <v>47</v>
      </c>
      <c r="H11">
        <v>3</v>
      </c>
      <c r="AJ11" s="72"/>
      <c r="AK11" s="72"/>
      <c r="AL11" s="72"/>
    </row>
    <row r="12" spans="1:44" x14ac:dyDescent="0.25">
      <c r="A12" s="62" t="s">
        <v>78</v>
      </c>
      <c r="B12" s="75">
        <v>0.4</v>
      </c>
      <c r="G12" t="s">
        <v>48</v>
      </c>
      <c r="H12">
        <f>150+16+3+80</f>
        <v>249</v>
      </c>
      <c r="AJ12" s="72"/>
      <c r="AK12" s="72"/>
      <c r="AL12" s="72"/>
    </row>
    <row r="13" spans="1:44" x14ac:dyDescent="0.25">
      <c r="A13" s="62" t="s">
        <v>79</v>
      </c>
      <c r="B13" s="62">
        <v>0.85</v>
      </c>
      <c r="G13" t="s">
        <v>49</v>
      </c>
      <c r="H13">
        <f>40+4+1+20</f>
        <v>65</v>
      </c>
      <c r="AJ13" s="72"/>
      <c r="AK13" s="72"/>
      <c r="AL13" s="72"/>
    </row>
    <row r="14" spans="1:44" x14ac:dyDescent="0.25">
      <c r="A14" s="68" t="s">
        <v>54</v>
      </c>
      <c r="B14" s="62">
        <v>0.15</v>
      </c>
      <c r="AJ14" s="72"/>
      <c r="AK14" s="72"/>
      <c r="AL14" s="72"/>
    </row>
    <row r="15" spans="1:44" x14ac:dyDescent="0.25">
      <c r="A15" s="68" t="s">
        <v>3</v>
      </c>
      <c r="B15" s="62">
        <f>0.5/4</f>
        <v>0.125</v>
      </c>
    </row>
    <row r="16" spans="1:44" ht="20.25" x14ac:dyDescent="0.3">
      <c r="A16" s="238" t="s">
        <v>103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</row>
    <row r="17" spans="1:44" ht="15.75" thickBot="1" x14ac:dyDescent="0.3">
      <c r="A17" s="12"/>
      <c r="B17" s="2"/>
    </row>
    <row r="18" spans="1:44" ht="15.75" thickBot="1" x14ac:dyDescent="0.3">
      <c r="A18" s="87">
        <v>1</v>
      </c>
      <c r="B18" s="86">
        <v>2</v>
      </c>
      <c r="C18" s="86">
        <v>3</v>
      </c>
      <c r="D18" s="86">
        <v>4</v>
      </c>
      <c r="E18" s="86">
        <v>5</v>
      </c>
      <c r="F18" s="86">
        <v>6</v>
      </c>
      <c r="G18" s="86">
        <v>7</v>
      </c>
      <c r="H18" s="86">
        <v>8</v>
      </c>
      <c r="I18" s="86">
        <v>9</v>
      </c>
      <c r="J18" s="86">
        <v>10</v>
      </c>
      <c r="K18" s="86">
        <v>11</v>
      </c>
      <c r="L18" s="86">
        <v>12</v>
      </c>
      <c r="M18" s="86">
        <v>13</v>
      </c>
      <c r="N18" s="86">
        <v>14</v>
      </c>
      <c r="O18" s="86">
        <v>15</v>
      </c>
      <c r="P18" s="86">
        <v>16</v>
      </c>
      <c r="Q18" s="86">
        <v>17</v>
      </c>
      <c r="R18" s="86">
        <v>18</v>
      </c>
      <c r="S18" s="86">
        <v>19</v>
      </c>
      <c r="T18" s="86">
        <v>16</v>
      </c>
      <c r="U18" s="86">
        <v>17</v>
      </c>
      <c r="V18" s="86">
        <v>18</v>
      </c>
      <c r="W18" s="86">
        <v>19</v>
      </c>
      <c r="X18" s="86">
        <v>20</v>
      </c>
      <c r="Y18" s="86">
        <v>21</v>
      </c>
      <c r="Z18" s="86">
        <v>22</v>
      </c>
      <c r="AA18" s="86">
        <v>23</v>
      </c>
      <c r="AB18" s="86">
        <v>24</v>
      </c>
      <c r="AC18" s="86">
        <v>25</v>
      </c>
      <c r="AD18" s="86">
        <v>26</v>
      </c>
      <c r="AE18" s="86">
        <v>27</v>
      </c>
      <c r="AF18" s="86">
        <v>28</v>
      </c>
      <c r="AG18" s="86">
        <v>29</v>
      </c>
      <c r="AH18" s="86">
        <v>30</v>
      </c>
      <c r="AI18" s="86">
        <v>31</v>
      </c>
      <c r="AJ18" s="86">
        <v>32</v>
      </c>
      <c r="AK18" s="86">
        <v>33</v>
      </c>
      <c r="AL18" s="86">
        <v>34</v>
      </c>
      <c r="AM18" s="86">
        <v>35</v>
      </c>
      <c r="AN18" s="86">
        <v>36</v>
      </c>
      <c r="AO18" s="86">
        <v>37</v>
      </c>
      <c r="AP18" s="86">
        <v>38</v>
      </c>
      <c r="AQ18" s="86">
        <v>39</v>
      </c>
      <c r="AR18" s="88">
        <v>40</v>
      </c>
    </row>
    <row r="19" spans="1:44" ht="14.25" customHeight="1" x14ac:dyDescent="0.25">
      <c r="R19" t="s">
        <v>52</v>
      </c>
      <c r="S19" t="s">
        <v>58</v>
      </c>
      <c r="Z19" t="s">
        <v>61</v>
      </c>
    </row>
    <row r="20" spans="1:44" ht="17.25" customHeight="1" x14ac:dyDescent="0.25">
      <c r="A20" s="233" t="s">
        <v>4</v>
      </c>
      <c r="B20" s="234" t="s">
        <v>70</v>
      </c>
      <c r="C20" s="234" t="s">
        <v>71</v>
      </c>
      <c r="D20" s="234" t="s">
        <v>5</v>
      </c>
      <c r="E20" s="234" t="s">
        <v>6</v>
      </c>
      <c r="F20" s="233" t="s">
        <v>7</v>
      </c>
      <c r="G20" s="234" t="s">
        <v>8</v>
      </c>
      <c r="H20" s="233" t="s">
        <v>7</v>
      </c>
      <c r="I20" s="234" t="s">
        <v>9</v>
      </c>
      <c r="J20" s="233" t="s">
        <v>10</v>
      </c>
      <c r="K20" s="234" t="s">
        <v>34</v>
      </c>
      <c r="L20" s="233" t="s">
        <v>72</v>
      </c>
      <c r="M20" s="233" t="s">
        <v>72</v>
      </c>
      <c r="N20" s="233" t="s">
        <v>11</v>
      </c>
      <c r="O20" s="233" t="s">
        <v>11</v>
      </c>
      <c r="P20" s="235" t="s">
        <v>12</v>
      </c>
      <c r="Q20" s="235" t="s">
        <v>12</v>
      </c>
      <c r="R20" s="235" t="s">
        <v>76</v>
      </c>
      <c r="S20" s="235" t="s">
        <v>73</v>
      </c>
      <c r="T20" s="234" t="s">
        <v>12</v>
      </c>
      <c r="U20" s="234" t="s">
        <v>12</v>
      </c>
      <c r="V20" s="237" t="s">
        <v>76</v>
      </c>
      <c r="W20" s="234" t="s">
        <v>73</v>
      </c>
      <c r="X20" s="234" t="s">
        <v>75</v>
      </c>
      <c r="Y20" s="234" t="s">
        <v>74</v>
      </c>
      <c r="Z20" s="234" t="s">
        <v>53</v>
      </c>
      <c r="AA20" s="234" t="s">
        <v>54</v>
      </c>
      <c r="AB20" s="234" t="s">
        <v>65</v>
      </c>
      <c r="AC20" s="234" t="s">
        <v>65</v>
      </c>
      <c r="AD20" s="234" t="s">
        <v>65</v>
      </c>
      <c r="AE20" s="241" t="s">
        <v>69</v>
      </c>
      <c r="AF20" s="242"/>
      <c r="AG20" s="242"/>
      <c r="AH20" s="243"/>
      <c r="AI20" s="237" t="s">
        <v>38</v>
      </c>
      <c r="AJ20" s="233" t="s">
        <v>13</v>
      </c>
      <c r="AK20" s="233"/>
      <c r="AL20" s="233"/>
      <c r="AM20" s="73" t="s">
        <v>81</v>
      </c>
      <c r="AN20" s="63" t="s">
        <v>14</v>
      </c>
      <c r="AO20" s="73" t="s">
        <v>80</v>
      </c>
      <c r="AP20" s="73" t="s">
        <v>15</v>
      </c>
      <c r="AQ20" s="239" t="s">
        <v>28</v>
      </c>
      <c r="AR20" s="240"/>
    </row>
    <row r="21" spans="1:44" ht="15" customHeight="1" x14ac:dyDescent="0.25">
      <c r="A21" s="233"/>
      <c r="B21" s="234"/>
      <c r="C21" s="234"/>
      <c r="D21" s="234"/>
      <c r="E21" s="234"/>
      <c r="F21" s="233"/>
      <c r="G21" s="234"/>
      <c r="H21" s="233"/>
      <c r="I21" s="234"/>
      <c r="J21" s="233"/>
      <c r="K21" s="234"/>
      <c r="L21" s="233"/>
      <c r="M21" s="233"/>
      <c r="N21" s="233"/>
      <c r="O21" s="233"/>
      <c r="P21" s="235"/>
      <c r="Q21" s="235"/>
      <c r="R21" s="235" t="s">
        <v>55</v>
      </c>
      <c r="S21" s="235"/>
      <c r="T21" s="234"/>
      <c r="U21" s="234"/>
      <c r="V21" s="237" t="s">
        <v>55</v>
      </c>
      <c r="W21" s="234"/>
      <c r="X21" s="234" t="s">
        <v>56</v>
      </c>
      <c r="Y21" s="234"/>
      <c r="Z21" s="234" t="s">
        <v>56</v>
      </c>
      <c r="AA21" s="234" t="s">
        <v>57</v>
      </c>
      <c r="AB21" s="234"/>
      <c r="AC21" s="234"/>
      <c r="AD21" s="234"/>
      <c r="AE21" s="244"/>
      <c r="AF21" s="245"/>
      <c r="AG21" s="245"/>
      <c r="AH21" s="246"/>
      <c r="AI21" s="237"/>
      <c r="AJ21" s="73" t="s">
        <v>16</v>
      </c>
      <c r="AK21" s="76" t="s">
        <v>17</v>
      </c>
      <c r="AL21" s="76" t="s">
        <v>14</v>
      </c>
      <c r="AM21" s="73" t="s">
        <v>18</v>
      </c>
      <c r="AN21" s="73" t="s">
        <v>19</v>
      </c>
      <c r="AO21" s="73" t="s">
        <v>19</v>
      </c>
      <c r="AP21" s="73" t="s">
        <v>19</v>
      </c>
      <c r="AQ21" s="73" t="s">
        <v>20</v>
      </c>
      <c r="AR21" s="73" t="s">
        <v>20</v>
      </c>
    </row>
    <row r="22" spans="1:44" ht="29.25" customHeight="1" thickBot="1" x14ac:dyDescent="0.3">
      <c r="A22" s="233"/>
      <c r="B22" s="234"/>
      <c r="C22" s="234"/>
      <c r="D22" s="234"/>
      <c r="E22" s="13" t="s">
        <v>21</v>
      </c>
      <c r="F22" s="13" t="s">
        <v>29</v>
      </c>
      <c r="G22" s="13" t="s">
        <v>21</v>
      </c>
      <c r="H22" s="13" t="s">
        <v>29</v>
      </c>
      <c r="I22" s="13" t="s">
        <v>29</v>
      </c>
      <c r="J22" s="13" t="s">
        <v>30</v>
      </c>
      <c r="K22" s="13"/>
      <c r="L22" s="13" t="s">
        <v>35</v>
      </c>
      <c r="M22" s="13" t="s">
        <v>36</v>
      </c>
      <c r="N22" s="13" t="s">
        <v>29</v>
      </c>
      <c r="O22" s="13" t="s">
        <v>22</v>
      </c>
      <c r="P22" s="112" t="s">
        <v>22</v>
      </c>
      <c r="Q22" s="112" t="s">
        <v>29</v>
      </c>
      <c r="R22" s="112" t="s">
        <v>36</v>
      </c>
      <c r="S22" s="112"/>
      <c r="T22" s="13" t="s">
        <v>22</v>
      </c>
      <c r="U22" s="13" t="s">
        <v>29</v>
      </c>
      <c r="V22" s="13" t="s">
        <v>36</v>
      </c>
      <c r="W22" s="13"/>
      <c r="X22" s="13" t="s">
        <v>67</v>
      </c>
      <c r="Y22" s="13"/>
      <c r="Z22" s="13" t="s">
        <v>67</v>
      </c>
      <c r="AA22" s="13" t="s">
        <v>57</v>
      </c>
      <c r="AB22" s="13" t="s">
        <v>59</v>
      </c>
      <c r="AC22" s="13" t="s">
        <v>66</v>
      </c>
      <c r="AD22" s="13" t="s">
        <v>54</v>
      </c>
      <c r="AE22" s="13" t="s">
        <v>59</v>
      </c>
      <c r="AF22" s="13" t="s">
        <v>66</v>
      </c>
      <c r="AG22" s="13" t="s">
        <v>54</v>
      </c>
      <c r="AH22" s="13" t="s">
        <v>68</v>
      </c>
      <c r="AI22" s="13" t="s">
        <v>29</v>
      </c>
      <c r="AJ22" s="13" t="s">
        <v>23</v>
      </c>
      <c r="AK22" s="13" t="s">
        <v>23</v>
      </c>
      <c r="AL22" s="13" t="s">
        <v>23</v>
      </c>
      <c r="AM22" s="13" t="s">
        <v>23</v>
      </c>
      <c r="AN22" s="13" t="s">
        <v>23</v>
      </c>
      <c r="AO22" s="13" t="s">
        <v>23</v>
      </c>
      <c r="AP22" s="188"/>
      <c r="AQ22" s="13" t="s">
        <v>24</v>
      </c>
      <c r="AR22" s="13" t="s">
        <v>25</v>
      </c>
    </row>
    <row r="23" spans="1:44" x14ac:dyDescent="0.25">
      <c r="A23" s="229">
        <v>1</v>
      </c>
      <c r="B23" s="229">
        <v>1</v>
      </c>
      <c r="C23" s="229">
        <v>2</v>
      </c>
      <c r="D23" s="229">
        <v>49.3</v>
      </c>
      <c r="E23" s="127">
        <v>1</v>
      </c>
      <c r="F23" s="132">
        <f>+'LOGIKA AN-1'!F23</f>
        <v>48.099999999999994</v>
      </c>
      <c r="G23" s="127">
        <v>1</v>
      </c>
      <c r="H23" s="136">
        <f>+H33+2*$B$15</f>
        <v>48</v>
      </c>
      <c r="I23" s="129">
        <v>80</v>
      </c>
      <c r="J23" s="130">
        <f>+(F23-H23)/I23</f>
        <v>1.2499999999999289E-3</v>
      </c>
      <c r="K23" s="138">
        <f>+H4</f>
        <v>158</v>
      </c>
      <c r="L23" s="132">
        <f>IF(K23&lt;38,K23^0.3686*0.7401,IF(K23&lt;235,K23^0.4193*0.6215,IF(K23&lt;932,K23*0.0092+4.2493,K23*0.0069+6.7345)))</f>
        <v>5.1920402377148429</v>
      </c>
      <c r="M23" s="133">
        <f>+L23/1000</f>
        <v>5.1920402377148428E-3</v>
      </c>
      <c r="N23" s="133">
        <f t="shared" ref="N23:N86" si="0">+IF(J23&gt;0,((M23*$B$2*(4^(5/3))/((J23^0.5)*PI()*$B$6))^(3/8)),0)</f>
        <v>0.13410267267565754</v>
      </c>
      <c r="O23" s="133">
        <f t="shared" ref="O23:O86" si="1">+N23*(100/2.54)</f>
        <v>5.2796327825062024</v>
      </c>
      <c r="P23" s="134">
        <f>IF(O23&lt;0.1,0,IF(O23&lt;4,6,EVEN(O23)))</f>
        <v>6</v>
      </c>
      <c r="Q23" s="135">
        <f>IF(O23&gt;0,VLOOKUP(P23,'$ alcantarillado'!$I$5:$L$22,4,FALSE),"0")</f>
        <v>0.14499999999999999</v>
      </c>
      <c r="R23" s="135">
        <f t="shared" ref="R23:R86" si="2">IF(P23&gt;0,PI()*((Q23)^(8/3))*((J23)^0.5)/($B$2*4^(5/3)),"")</f>
        <v>6.3946910389487679E-3</v>
      </c>
      <c r="S23" s="136">
        <f t="shared" ref="S23:S86" si="3">IF(P23&gt;0,+M23/R23,0)</f>
        <v>0.81192980334642872</v>
      </c>
      <c r="T23" s="134">
        <f>+IF(S23&gt;$B$13,VLOOKUP(P23,'$ alcantarillado'!$I$6:$N$22,5),P23)</f>
        <v>6</v>
      </c>
      <c r="U23" s="135">
        <f>IF(O23&gt;0,VLOOKUP(T23,'$ alcantarillado'!$I$5:$L$22,4),"0")</f>
        <v>0.14499999999999999</v>
      </c>
      <c r="V23" s="135">
        <f t="shared" ref="V23:V86" si="4">IF(T23&gt;0,PI()*((U23)^(8/3))*((J23)^0.5)/($B$2*4^(5/3)),"")</f>
        <v>6.3946910389487679E-3</v>
      </c>
      <c r="W23" s="136">
        <f t="shared" ref="W23:W54" si="5">IF(T23&gt;0,M23/V23,0)</f>
        <v>0.81192980334642872</v>
      </c>
      <c r="X23" s="136">
        <f>IF(T23&gt;0,4*V23/(PI()*(U23)^2),"")</f>
        <v>0.38725200985270652</v>
      </c>
      <c r="Y23" s="135">
        <f>IF(T23&gt;0,(VLOOKUP($W23,Relaciones!$A$4:$D$108,2)),"")</f>
        <v>0.98699999999999999</v>
      </c>
      <c r="Z23" s="136">
        <f>IF(T23&gt;0,Y23*X23,"")</f>
        <v>0.38221773372462131</v>
      </c>
      <c r="AA23" s="136">
        <f>IF(T23&gt;0,250*U23*J23,"")</f>
        <v>4.5312499999997424E-2</v>
      </c>
      <c r="AB23" s="137" t="str">
        <f>IF(T23&gt;0,IF(W23&lt;=$B$13,"OK","No Cumple"),"")</f>
        <v>OK</v>
      </c>
      <c r="AC23" s="137" t="str">
        <f>IF(T23&gt;0,IF(Z23&gt;=$B$12,"OK","No Cumple"),"")</f>
        <v>No Cumple</v>
      </c>
      <c r="AD23" s="137" t="str">
        <f>IF(T23&gt;0,IF(AA23&gt;$B$14,"OK","No Cumple"),"")</f>
        <v>No Cumple</v>
      </c>
      <c r="AE23" s="138">
        <f>+IF(AB23="OK",1,0)</f>
        <v>1</v>
      </c>
      <c r="AF23" s="138">
        <f>+IF(AC23="OK",1,0)</f>
        <v>0</v>
      </c>
      <c r="AG23" s="138">
        <f>+IF(AD23="OK",1,0)</f>
        <v>0</v>
      </c>
      <c r="AH23" s="138">
        <f>SUM(AE23:AG23)</f>
        <v>1</v>
      </c>
      <c r="AI23" s="137">
        <f>IF(AH23=3,2*$B$7+U23,0)</f>
        <v>0</v>
      </c>
      <c r="AJ23" s="139">
        <f>IF(AI23&gt;0,I23*VLOOKUP(T23,'$ alcantarillado'!$I$6:$K$22,3),0)</f>
        <v>0</v>
      </c>
      <c r="AK23" s="139">
        <f t="shared" ref="AK23:AK47" si="6">IF(N23&gt;0,((($D$23-F23)+(U23))+(($D$48-H23)+(U23))/2)*AI23*I23*$C$9,0)</f>
        <v>0</v>
      </c>
      <c r="AL23" s="139">
        <f t="shared" ref="AL23:AL47" si="7">IF(AI23&gt;0,(($D$23-F23)+U23)*$C$10,0)</f>
        <v>0</v>
      </c>
      <c r="AM23" s="139">
        <f>IF(AJ23&gt;0,AJ23+AK23+AL23,0)</f>
        <v>0</v>
      </c>
      <c r="AN23" s="129">
        <v>0</v>
      </c>
      <c r="AO23" s="140" t="str">
        <f t="shared" ref="AO23:AO47" si="8">IF((AM23+AN23)&gt;0,(AM23+AN23),"")</f>
        <v/>
      </c>
      <c r="AP23" s="232">
        <f>+MIN(AO23:AO27)</f>
        <v>0</v>
      </c>
      <c r="AQ23" s="129"/>
      <c r="AR23" s="163"/>
    </row>
    <row r="24" spans="1:44" x14ac:dyDescent="0.25">
      <c r="A24" s="230"/>
      <c r="B24" s="230"/>
      <c r="C24" s="230"/>
      <c r="D24" s="230"/>
      <c r="E24" s="141">
        <v>2</v>
      </c>
      <c r="F24" s="128">
        <f>+F23-$B$15</f>
        <v>47.974999999999994</v>
      </c>
      <c r="G24" s="141">
        <v>1</v>
      </c>
      <c r="H24" s="146">
        <f>+H23</f>
        <v>48</v>
      </c>
      <c r="I24" s="142">
        <f>+I23</f>
        <v>80</v>
      </c>
      <c r="J24" s="143">
        <f t="shared" ref="J24:J87" si="9">+(F24-H24)/I24</f>
        <v>-3.1250000000007108E-4</v>
      </c>
      <c r="K24" s="142">
        <f>+K23</f>
        <v>158</v>
      </c>
      <c r="L24" s="128">
        <f t="shared" ref="L24:L87" si="10">IF(K24&lt;38,K24^0.3686*0.7401,IF(K24&lt;235,K24^0.4193*0.6215,IF(K24&lt;932,K24*0.0092+4.2493,K24*0.0069+6.7345)))</f>
        <v>5.1920402377148429</v>
      </c>
      <c r="M24" s="144">
        <f t="shared" ref="M24:M47" si="11">+L24/1000</f>
        <v>5.1920402377148428E-3</v>
      </c>
      <c r="N24" s="144">
        <f t="shared" si="0"/>
        <v>0</v>
      </c>
      <c r="O24" s="144">
        <f t="shared" si="1"/>
        <v>0</v>
      </c>
      <c r="P24" s="145">
        <f t="shared" ref="P24:P87" si="12">IF(O24&lt;0.1,0,IF(O24&lt;4,6,EVEN(O24)))</f>
        <v>0</v>
      </c>
      <c r="Q24" s="113" t="str">
        <f>IF(O24&gt;0,VLOOKUP(P24,'$ alcantarillado'!$I$5:$L$22,4,FALSE),"0")</f>
        <v>0</v>
      </c>
      <c r="R24" s="113" t="str">
        <f t="shared" si="2"/>
        <v/>
      </c>
      <c r="S24" s="146">
        <f t="shared" si="3"/>
        <v>0</v>
      </c>
      <c r="T24" s="145">
        <f>+IF(S24&gt;$B$13,VLOOKUP(P24,'$ alcantarillado'!$I$6:$N$22,5),P24)</f>
        <v>0</v>
      </c>
      <c r="U24" s="113" t="str">
        <f>IF(O24&gt;0,VLOOKUP(T24,'$ alcantarillado'!$I$5:$L$22,4),"0")</f>
        <v>0</v>
      </c>
      <c r="V24" s="113" t="str">
        <f t="shared" si="4"/>
        <v/>
      </c>
      <c r="W24" s="146">
        <f t="shared" si="5"/>
        <v>0</v>
      </c>
      <c r="X24" s="146" t="str">
        <f t="shared" ref="X24:X27" si="13">IF(T24&gt;0,4*V24/(PI()*(U24)^2),"")</f>
        <v/>
      </c>
      <c r="Y24" s="113" t="str">
        <f>IF(T24&gt;0,(VLOOKUP($W24,Relaciones!$A$4:$D$108,2)),"")</f>
        <v/>
      </c>
      <c r="Z24" s="146" t="str">
        <f t="shared" ref="Z24:Z27" si="14">IF(T24&gt;0,Y24*X24,"")</f>
        <v/>
      </c>
      <c r="AA24" s="146" t="str">
        <f t="shared" ref="AA24:AA27" si="15">IF(T24&gt;0,250*U24*J24,"")</f>
        <v/>
      </c>
      <c r="AB24" s="147" t="str">
        <f t="shared" ref="AB24:AB27" si="16">IF(T24&gt;0,IF(W24&lt;=$B$13,"OK","No Cumple"),"")</f>
        <v/>
      </c>
      <c r="AC24" s="147" t="str">
        <f t="shared" ref="AC24:AC27" si="17">IF(T24&gt;0,IF(Z24&gt;=$B$12,"OK","No Cumple"),"")</f>
        <v/>
      </c>
      <c r="AD24" s="147" t="str">
        <f t="shared" ref="AD24:AD27" si="18">IF(T24&gt;0,IF(AA24&gt;$B$14,"OK","No Cumple"),"")</f>
        <v/>
      </c>
      <c r="AE24" s="148">
        <f t="shared" ref="AE24:AG27" si="19">+IF(AB24="OK",1,0)</f>
        <v>0</v>
      </c>
      <c r="AF24" s="148">
        <f t="shared" si="19"/>
        <v>0</v>
      </c>
      <c r="AG24" s="148">
        <f t="shared" si="19"/>
        <v>0</v>
      </c>
      <c r="AH24" s="148">
        <f t="shared" ref="AH24:AH27" si="20">SUM(AE24:AG24)</f>
        <v>0</v>
      </c>
      <c r="AI24" s="147">
        <f t="shared" ref="AI24:AI27" si="21">IF(AH24=3,2*$B$7+U24,0)</f>
        <v>0</v>
      </c>
      <c r="AJ24" s="149">
        <f>IF(AI24&gt;0,I24*VLOOKUP(T24,'$ alcantarillado'!$I$6:$K$22,3),0)</f>
        <v>0</v>
      </c>
      <c r="AK24" s="149">
        <f t="shared" si="6"/>
        <v>0</v>
      </c>
      <c r="AL24" s="149">
        <f t="shared" si="7"/>
        <v>0</v>
      </c>
      <c r="AM24" s="149">
        <f t="shared" ref="AM24:AM87" si="22">IF(AJ24&gt;0,AJ24+AK24+AL24,0)</f>
        <v>0</v>
      </c>
      <c r="AN24" s="142">
        <v>0</v>
      </c>
      <c r="AO24" s="150" t="str">
        <f t="shared" si="8"/>
        <v/>
      </c>
      <c r="AP24" s="218"/>
      <c r="AQ24" s="142"/>
      <c r="AR24" s="165"/>
    </row>
    <row r="25" spans="1:44" x14ac:dyDescent="0.25">
      <c r="A25" s="230"/>
      <c r="B25" s="230"/>
      <c r="C25" s="230"/>
      <c r="D25" s="230"/>
      <c r="E25" s="151">
        <v>3</v>
      </c>
      <c r="F25" s="128">
        <f>+F24-$B$15</f>
        <v>47.849999999999994</v>
      </c>
      <c r="G25" s="151">
        <v>1</v>
      </c>
      <c r="H25" s="142">
        <f t="shared" ref="H25:K26" si="23">+H24</f>
        <v>48</v>
      </c>
      <c r="I25" s="142">
        <f t="shared" si="23"/>
        <v>80</v>
      </c>
      <c r="J25" s="143">
        <f t="shared" si="9"/>
        <v>-1.8750000000000711E-3</v>
      </c>
      <c r="K25" s="142">
        <f t="shared" si="23"/>
        <v>158</v>
      </c>
      <c r="L25" s="128">
        <f t="shared" si="10"/>
        <v>5.1920402377148429</v>
      </c>
      <c r="M25" s="144">
        <f t="shared" si="11"/>
        <v>5.1920402377148428E-3</v>
      </c>
      <c r="N25" s="144">
        <f t="shared" si="0"/>
        <v>0</v>
      </c>
      <c r="O25" s="144">
        <f t="shared" si="1"/>
        <v>0</v>
      </c>
      <c r="P25" s="145">
        <f t="shared" si="12"/>
        <v>0</v>
      </c>
      <c r="Q25" s="113" t="str">
        <f>IF(O25&gt;0,VLOOKUP(P25,'$ alcantarillado'!$I$5:$L$22,4,FALSE),"0")</f>
        <v>0</v>
      </c>
      <c r="R25" s="113" t="str">
        <f t="shared" si="2"/>
        <v/>
      </c>
      <c r="S25" s="146">
        <f t="shared" si="3"/>
        <v>0</v>
      </c>
      <c r="T25" s="145">
        <f>+IF(S25&gt;$B$13,VLOOKUP(P25,'$ alcantarillado'!$I$6:$N$22,5),P25)</f>
        <v>0</v>
      </c>
      <c r="U25" s="113" t="str">
        <f>IF(O25&gt;0,VLOOKUP(T25,'$ alcantarillado'!$I$5:$L$22,4),"0")</f>
        <v>0</v>
      </c>
      <c r="V25" s="113" t="str">
        <f t="shared" si="4"/>
        <v/>
      </c>
      <c r="W25" s="146">
        <f t="shared" si="5"/>
        <v>0</v>
      </c>
      <c r="X25" s="146" t="str">
        <f t="shared" si="13"/>
        <v/>
      </c>
      <c r="Y25" s="113" t="str">
        <f>IF(T25&gt;0,(VLOOKUP($W25,Relaciones!$A$4:$D$108,2)),"")</f>
        <v/>
      </c>
      <c r="Z25" s="146" t="str">
        <f t="shared" si="14"/>
        <v/>
      </c>
      <c r="AA25" s="146" t="str">
        <f t="shared" si="15"/>
        <v/>
      </c>
      <c r="AB25" s="147" t="str">
        <f t="shared" si="16"/>
        <v/>
      </c>
      <c r="AC25" s="147" t="str">
        <f t="shared" si="17"/>
        <v/>
      </c>
      <c r="AD25" s="147" t="str">
        <f t="shared" si="18"/>
        <v/>
      </c>
      <c r="AE25" s="148">
        <f t="shared" si="19"/>
        <v>0</v>
      </c>
      <c r="AF25" s="148">
        <f t="shared" si="19"/>
        <v>0</v>
      </c>
      <c r="AG25" s="148">
        <f t="shared" si="19"/>
        <v>0</v>
      </c>
      <c r="AH25" s="148">
        <f t="shared" si="20"/>
        <v>0</v>
      </c>
      <c r="AI25" s="147">
        <f t="shared" si="21"/>
        <v>0</v>
      </c>
      <c r="AJ25" s="149">
        <f>IF(AI25&gt;0,I25*VLOOKUP(T25,'$ alcantarillado'!$I$6:$K$22,3),0)</f>
        <v>0</v>
      </c>
      <c r="AK25" s="149">
        <f t="shared" si="6"/>
        <v>0</v>
      </c>
      <c r="AL25" s="149">
        <f t="shared" si="7"/>
        <v>0</v>
      </c>
      <c r="AM25" s="149">
        <f t="shared" si="22"/>
        <v>0</v>
      </c>
      <c r="AN25" s="142">
        <v>0</v>
      </c>
      <c r="AO25" s="150" t="str">
        <f t="shared" si="8"/>
        <v/>
      </c>
      <c r="AP25" s="219"/>
      <c r="AQ25" s="142"/>
      <c r="AR25" s="165"/>
    </row>
    <row r="26" spans="1:44" x14ac:dyDescent="0.25">
      <c r="A26" s="230"/>
      <c r="B26" s="230"/>
      <c r="C26" s="230"/>
      <c r="D26" s="230"/>
      <c r="E26" s="151">
        <v>4</v>
      </c>
      <c r="F26" s="128">
        <f>+F25-$B$15</f>
        <v>47.724999999999994</v>
      </c>
      <c r="G26" s="151">
        <v>1</v>
      </c>
      <c r="H26" s="142">
        <f t="shared" si="23"/>
        <v>48</v>
      </c>
      <c r="I26" s="142">
        <f t="shared" si="23"/>
        <v>80</v>
      </c>
      <c r="J26" s="143">
        <f>+(F26-H26)/I26</f>
        <v>-3.4375000000000711E-3</v>
      </c>
      <c r="K26" s="142">
        <f t="shared" si="23"/>
        <v>158</v>
      </c>
      <c r="L26" s="128">
        <f t="shared" si="10"/>
        <v>5.1920402377148429</v>
      </c>
      <c r="M26" s="144">
        <f t="shared" si="11"/>
        <v>5.1920402377148428E-3</v>
      </c>
      <c r="N26" s="144">
        <f t="shared" si="0"/>
        <v>0</v>
      </c>
      <c r="O26" s="144">
        <f t="shared" si="1"/>
        <v>0</v>
      </c>
      <c r="P26" s="145">
        <f t="shared" si="12"/>
        <v>0</v>
      </c>
      <c r="Q26" s="113" t="str">
        <f>IF(O26&gt;0,VLOOKUP(P26,'$ alcantarillado'!$I$5:$L$22,4,FALSE),"0")</f>
        <v>0</v>
      </c>
      <c r="R26" s="113" t="str">
        <f t="shared" si="2"/>
        <v/>
      </c>
      <c r="S26" s="146">
        <f t="shared" si="3"/>
        <v>0</v>
      </c>
      <c r="T26" s="145">
        <f>+IF(S26&gt;$B$13,VLOOKUP(P26,'$ alcantarillado'!$I$6:$N$22,5),P26)</f>
        <v>0</v>
      </c>
      <c r="U26" s="113" t="str">
        <f>IF(O26&gt;0,VLOOKUP(T26,'$ alcantarillado'!$I$5:$L$22,4),"0")</f>
        <v>0</v>
      </c>
      <c r="V26" s="113" t="str">
        <f t="shared" si="4"/>
        <v/>
      </c>
      <c r="W26" s="146">
        <f t="shared" si="5"/>
        <v>0</v>
      </c>
      <c r="X26" s="146" t="str">
        <f t="shared" si="13"/>
        <v/>
      </c>
      <c r="Y26" s="113" t="str">
        <f>IF(T26&gt;0,(VLOOKUP($W26,Relaciones!$A$4:$D$108,2)),"")</f>
        <v/>
      </c>
      <c r="Z26" s="146" t="str">
        <f t="shared" si="14"/>
        <v/>
      </c>
      <c r="AA26" s="146" t="str">
        <f t="shared" si="15"/>
        <v/>
      </c>
      <c r="AB26" s="147" t="str">
        <f t="shared" si="16"/>
        <v/>
      </c>
      <c r="AC26" s="147" t="str">
        <f t="shared" si="17"/>
        <v/>
      </c>
      <c r="AD26" s="147" t="str">
        <f t="shared" si="18"/>
        <v/>
      </c>
      <c r="AE26" s="148">
        <f t="shared" si="19"/>
        <v>0</v>
      </c>
      <c r="AF26" s="148">
        <f t="shared" si="19"/>
        <v>0</v>
      </c>
      <c r="AG26" s="148">
        <f t="shared" si="19"/>
        <v>0</v>
      </c>
      <c r="AH26" s="148">
        <f t="shared" si="20"/>
        <v>0</v>
      </c>
      <c r="AI26" s="147">
        <f t="shared" si="21"/>
        <v>0</v>
      </c>
      <c r="AJ26" s="149">
        <f>IF(AI26&gt;0,I26*VLOOKUP(T26,'$ alcantarillado'!$I$6:$K$22,3),0)</f>
        <v>0</v>
      </c>
      <c r="AK26" s="149">
        <f t="shared" si="6"/>
        <v>0</v>
      </c>
      <c r="AL26" s="149">
        <f t="shared" si="7"/>
        <v>0</v>
      </c>
      <c r="AM26" s="149">
        <f t="shared" si="22"/>
        <v>0</v>
      </c>
      <c r="AN26" s="142">
        <v>0</v>
      </c>
      <c r="AO26" s="150" t="str">
        <f t="shared" si="8"/>
        <v/>
      </c>
      <c r="AP26" s="219"/>
      <c r="AQ26" s="142"/>
      <c r="AR26" s="165"/>
    </row>
    <row r="27" spans="1:44" ht="15.75" thickBot="1" x14ac:dyDescent="0.3">
      <c r="A27" s="230"/>
      <c r="B27" s="230"/>
      <c r="C27" s="230"/>
      <c r="D27" s="230"/>
      <c r="E27" s="152">
        <v>5</v>
      </c>
      <c r="F27" s="153">
        <f>+F26-$B$15</f>
        <v>47.599999999999994</v>
      </c>
      <c r="G27" s="152">
        <v>1</v>
      </c>
      <c r="H27" s="154">
        <f>+H26</f>
        <v>48</v>
      </c>
      <c r="I27" s="154">
        <f>+I26</f>
        <v>80</v>
      </c>
      <c r="J27" s="155">
        <f t="shared" si="9"/>
        <v>-5.0000000000000712E-3</v>
      </c>
      <c r="K27" s="154">
        <f>+K26</f>
        <v>158</v>
      </c>
      <c r="L27" s="153">
        <f t="shared" si="10"/>
        <v>5.1920402377148429</v>
      </c>
      <c r="M27" s="156">
        <f t="shared" si="11"/>
        <v>5.1920402377148428E-3</v>
      </c>
      <c r="N27" s="156">
        <f t="shared" si="0"/>
        <v>0</v>
      </c>
      <c r="O27" s="156">
        <f t="shared" si="1"/>
        <v>0</v>
      </c>
      <c r="P27" s="157">
        <f t="shared" si="12"/>
        <v>0</v>
      </c>
      <c r="Q27" s="113" t="str">
        <f>IF(O27&gt;0,VLOOKUP(P27,'$ alcantarillado'!$I$5:$L$22,4,FALSE),"0")</f>
        <v>0</v>
      </c>
      <c r="R27" s="113" t="str">
        <f t="shared" si="2"/>
        <v/>
      </c>
      <c r="S27" s="146">
        <f t="shared" si="3"/>
        <v>0</v>
      </c>
      <c r="T27" s="145">
        <f>+IF(S27&gt;$B$13,VLOOKUP(P27,'$ alcantarillado'!$I$6:$N$22,5),P27)</f>
        <v>0</v>
      </c>
      <c r="U27" s="113" t="str">
        <f>IF(O27&gt;0,VLOOKUP(T27,'$ alcantarillado'!$I$5:$L$22,4),"0")</f>
        <v>0</v>
      </c>
      <c r="V27" s="113" t="str">
        <f t="shared" si="4"/>
        <v/>
      </c>
      <c r="W27" s="146">
        <f t="shared" si="5"/>
        <v>0</v>
      </c>
      <c r="X27" s="146" t="str">
        <f t="shared" si="13"/>
        <v/>
      </c>
      <c r="Y27" s="113" t="str">
        <f>IF(T27&gt;0,(VLOOKUP($W27,Relaciones!$A$4:$D$108,2)),"")</f>
        <v/>
      </c>
      <c r="Z27" s="146" t="str">
        <f t="shared" si="14"/>
        <v/>
      </c>
      <c r="AA27" s="146" t="str">
        <f t="shared" si="15"/>
        <v/>
      </c>
      <c r="AB27" s="147" t="str">
        <f t="shared" si="16"/>
        <v/>
      </c>
      <c r="AC27" s="147" t="str">
        <f t="shared" si="17"/>
        <v/>
      </c>
      <c r="AD27" s="147" t="str">
        <f t="shared" si="18"/>
        <v/>
      </c>
      <c r="AE27" s="148">
        <f t="shared" si="19"/>
        <v>0</v>
      </c>
      <c r="AF27" s="148">
        <f t="shared" si="19"/>
        <v>0</v>
      </c>
      <c r="AG27" s="148">
        <f t="shared" si="19"/>
        <v>0</v>
      </c>
      <c r="AH27" s="148">
        <f t="shared" si="20"/>
        <v>0</v>
      </c>
      <c r="AI27" s="147">
        <f t="shared" si="21"/>
        <v>0</v>
      </c>
      <c r="AJ27" s="158">
        <f>IF(AI27&gt;0,I27*VLOOKUP(T27,'$ alcantarillado'!$I$6:$K$22,3),0)</f>
        <v>0</v>
      </c>
      <c r="AK27" s="158">
        <f t="shared" si="6"/>
        <v>0</v>
      </c>
      <c r="AL27" s="158">
        <f t="shared" si="7"/>
        <v>0</v>
      </c>
      <c r="AM27" s="158">
        <f t="shared" si="22"/>
        <v>0</v>
      </c>
      <c r="AN27" s="154">
        <v>0</v>
      </c>
      <c r="AO27" s="159" t="str">
        <f t="shared" si="8"/>
        <v/>
      </c>
      <c r="AP27" s="220"/>
      <c r="AQ27" s="154"/>
      <c r="AR27" s="166"/>
    </row>
    <row r="28" spans="1:44" x14ac:dyDescent="0.25">
      <c r="A28" s="230"/>
      <c r="B28" s="230"/>
      <c r="C28" s="230"/>
      <c r="D28" s="230"/>
      <c r="E28" s="127">
        <v>1</v>
      </c>
      <c r="F28" s="132">
        <f t="shared" ref="F28:F47" si="24">+F23</f>
        <v>48.099999999999994</v>
      </c>
      <c r="G28" s="127">
        <v>2</v>
      </c>
      <c r="H28" s="146">
        <f>+H33+$B$15</f>
        <v>47.875</v>
      </c>
      <c r="I28" s="142">
        <f>+I27</f>
        <v>80</v>
      </c>
      <c r="J28" s="143">
        <f>+(F28-H28)/I28</f>
        <v>2.8124999999999288E-3</v>
      </c>
      <c r="K28" s="142">
        <f>+K27</f>
        <v>158</v>
      </c>
      <c r="L28" s="132">
        <f>IF(K28&lt;38,K28^0.3686*0.7401,IF(K28&lt;235,K28^0.4193*0.6215,IF(K28&lt;932,K28*0.0092+4.2493,K28*0.0069+6.7345)))</f>
        <v>5.1920402377148429</v>
      </c>
      <c r="M28" s="133">
        <f>+L28/1000</f>
        <v>5.1920402377148428E-3</v>
      </c>
      <c r="N28" s="133">
        <f t="shared" si="0"/>
        <v>0.11518693207929813</v>
      </c>
      <c r="O28" s="133">
        <f t="shared" si="1"/>
        <v>4.5349185857991392</v>
      </c>
      <c r="P28" s="134">
        <f t="shared" si="12"/>
        <v>6</v>
      </c>
      <c r="Q28" s="135">
        <f>IF(O28&gt;0,VLOOKUP(P28,'$ alcantarillado'!$I$5:$L$22,4,FALSE),"0")</f>
        <v>0.14499999999999999</v>
      </c>
      <c r="R28" s="135">
        <f t="shared" si="2"/>
        <v>9.5920365584233041E-3</v>
      </c>
      <c r="S28" s="136">
        <f t="shared" si="3"/>
        <v>0.54128653556427719</v>
      </c>
      <c r="T28" s="134">
        <f>+IF(S28&gt;$B$13,VLOOKUP(P28,'$ alcantarillado'!$I$6:$N$22,5),P28)</f>
        <v>6</v>
      </c>
      <c r="U28" s="135">
        <f>IF(O28&gt;0,VLOOKUP(T28,'$ alcantarillado'!$I$5:$L$22,4),"0")</f>
        <v>0.14499999999999999</v>
      </c>
      <c r="V28" s="135">
        <f t="shared" si="4"/>
        <v>9.5920365584233041E-3</v>
      </c>
      <c r="W28" s="136">
        <f t="shared" si="5"/>
        <v>0.54128653556427719</v>
      </c>
      <c r="X28" s="136">
        <f>IF(T28&gt;0,4*V28/(PI()*(U28)^2),"")</f>
        <v>0.58087801477906897</v>
      </c>
      <c r="Y28" s="135">
        <f>IF(T28&gt;0,(VLOOKUP($W28,Relaciones!$A$4:$D$108,2)),"")</f>
        <v>0.87</v>
      </c>
      <c r="Z28" s="136">
        <f>IF(T28&gt;0,Y28*X28,"")</f>
        <v>0.50536387285779005</v>
      </c>
      <c r="AA28" s="136">
        <f>IF(T28&gt;0,250*U28*J28,"")</f>
        <v>0.10195312499999742</v>
      </c>
      <c r="AB28" s="137" t="str">
        <f>IF(T28&gt;0,IF(W28&lt;=$B$13,"OK","No Cumple"),"")</f>
        <v>OK</v>
      </c>
      <c r="AC28" s="137" t="str">
        <f>IF(T28&gt;0,IF(Z28&gt;=$B$12,"OK","No Cumple"),"")</f>
        <v>OK</v>
      </c>
      <c r="AD28" s="137" t="str">
        <f>IF(T28&gt;0,IF(AA28&gt;$B$14,"OK","No Cumple"),"")</f>
        <v>No Cumple</v>
      </c>
      <c r="AE28" s="138">
        <f>+IF(AB28="OK",1,0)</f>
        <v>1</v>
      </c>
      <c r="AF28" s="138">
        <f>+IF(AC28="OK",1,0)</f>
        <v>1</v>
      </c>
      <c r="AG28" s="138">
        <f>+IF(AD28="OK",1,0)</f>
        <v>0</v>
      </c>
      <c r="AH28" s="138">
        <f>SUM(AE28:AG28)</f>
        <v>2</v>
      </c>
      <c r="AI28" s="137">
        <f>IF(AH28=3,2*$B$7+U28,0)</f>
        <v>0</v>
      </c>
      <c r="AJ28" s="139">
        <f>IF(AI28&gt;0,I28*VLOOKUP(T28,'$ alcantarillado'!$I$6:$K$22,3),0)</f>
        <v>0</v>
      </c>
      <c r="AK28" s="139">
        <f t="shared" si="6"/>
        <v>0</v>
      </c>
      <c r="AL28" s="139">
        <f t="shared" si="7"/>
        <v>0</v>
      </c>
      <c r="AM28" s="139">
        <f>IF(AJ28&gt;0,AJ28+AK28+AL28,0)</f>
        <v>0</v>
      </c>
      <c r="AN28" s="129">
        <v>0</v>
      </c>
      <c r="AO28" s="140" t="str">
        <f t="shared" si="8"/>
        <v/>
      </c>
      <c r="AP28" s="232">
        <f>+MIN(AO28:AO32)</f>
        <v>0</v>
      </c>
      <c r="AQ28" s="142"/>
      <c r="AR28" s="165"/>
    </row>
    <row r="29" spans="1:44" x14ac:dyDescent="0.25">
      <c r="A29" s="230"/>
      <c r="B29" s="230"/>
      <c r="C29" s="230"/>
      <c r="D29" s="230"/>
      <c r="E29" s="141">
        <v>2</v>
      </c>
      <c r="F29" s="128">
        <f t="shared" si="24"/>
        <v>47.974999999999994</v>
      </c>
      <c r="G29" s="141">
        <v>2</v>
      </c>
      <c r="H29" s="146">
        <f>+H28</f>
        <v>47.875</v>
      </c>
      <c r="I29" s="142">
        <f>+I28</f>
        <v>80</v>
      </c>
      <c r="J29" s="143">
        <f t="shared" si="9"/>
        <v>1.2499999999999289E-3</v>
      </c>
      <c r="K29" s="142">
        <f>+K28</f>
        <v>158</v>
      </c>
      <c r="L29" s="128">
        <f t="shared" si="10"/>
        <v>5.1920402377148429</v>
      </c>
      <c r="M29" s="144">
        <f t="shared" si="11"/>
        <v>5.1920402377148428E-3</v>
      </c>
      <c r="N29" s="144">
        <f t="shared" si="0"/>
        <v>0.13410267267565754</v>
      </c>
      <c r="O29" s="144">
        <f t="shared" si="1"/>
        <v>5.2796327825062024</v>
      </c>
      <c r="P29" s="145">
        <f t="shared" si="12"/>
        <v>6</v>
      </c>
      <c r="Q29" s="113">
        <f>IF(O29&gt;0,VLOOKUP(P29,'$ alcantarillado'!$I$5:$L$22,4,FALSE),"0")</f>
        <v>0.14499999999999999</v>
      </c>
      <c r="R29" s="113">
        <f t="shared" si="2"/>
        <v>6.3946910389487679E-3</v>
      </c>
      <c r="S29" s="146">
        <f t="shared" si="3"/>
        <v>0.81192980334642872</v>
      </c>
      <c r="T29" s="145">
        <f>+IF(S29&gt;$B$13,VLOOKUP(P29,'$ alcantarillado'!$I$6:$N$22,5),P29)</f>
        <v>6</v>
      </c>
      <c r="U29" s="113">
        <f>IF(O29&gt;0,VLOOKUP(T29,'$ alcantarillado'!$I$5:$L$22,4),"0")</f>
        <v>0.14499999999999999</v>
      </c>
      <c r="V29" s="113">
        <f t="shared" si="4"/>
        <v>6.3946910389487679E-3</v>
      </c>
      <c r="W29" s="146">
        <f t="shared" si="5"/>
        <v>0.81192980334642872</v>
      </c>
      <c r="X29" s="146">
        <f t="shared" ref="X29:X32" si="25">IF(T29&gt;0,4*V29/(PI()*(U29)^2),"")</f>
        <v>0.38725200985270652</v>
      </c>
      <c r="Y29" s="113">
        <f>IF(T29&gt;0,(VLOOKUP($W29,Relaciones!$A$4:$D$108,2)),"")</f>
        <v>0.98699999999999999</v>
      </c>
      <c r="Z29" s="146">
        <f t="shared" ref="Z29:Z32" si="26">IF(T29&gt;0,Y29*X29,"")</f>
        <v>0.38221773372462131</v>
      </c>
      <c r="AA29" s="146">
        <f t="shared" ref="AA29:AA32" si="27">IF(T29&gt;0,250*U29*J29,"")</f>
        <v>4.5312499999997424E-2</v>
      </c>
      <c r="AB29" s="147" t="str">
        <f t="shared" ref="AB29:AB32" si="28">IF(T29&gt;0,IF(W29&lt;=$B$13,"OK","No Cumple"),"")</f>
        <v>OK</v>
      </c>
      <c r="AC29" s="147" t="str">
        <f t="shared" ref="AC29:AC32" si="29">IF(T29&gt;0,IF(Z29&gt;=$B$12,"OK","No Cumple"),"")</f>
        <v>No Cumple</v>
      </c>
      <c r="AD29" s="147" t="str">
        <f t="shared" ref="AD29:AD32" si="30">IF(T29&gt;0,IF(AA29&gt;$B$14,"OK","No Cumple"),"")</f>
        <v>No Cumple</v>
      </c>
      <c r="AE29" s="148">
        <f t="shared" ref="AE29:AG32" si="31">+IF(AB29="OK",1,0)</f>
        <v>1</v>
      </c>
      <c r="AF29" s="148">
        <f t="shared" si="31"/>
        <v>0</v>
      </c>
      <c r="AG29" s="148">
        <f t="shared" si="31"/>
        <v>0</v>
      </c>
      <c r="AH29" s="148">
        <f t="shared" ref="AH29:AH32" si="32">SUM(AE29:AG29)</f>
        <v>1</v>
      </c>
      <c r="AI29" s="147">
        <f t="shared" ref="AI29:AI32" si="33">IF(AH29=3,2*$B$7+U29,0)</f>
        <v>0</v>
      </c>
      <c r="AJ29" s="149">
        <f>IF(AI29&gt;0,I29*VLOOKUP(T29,'$ alcantarillado'!$I$6:$K$22,3),0)</f>
        <v>0</v>
      </c>
      <c r="AK29" s="149">
        <f t="shared" si="6"/>
        <v>0</v>
      </c>
      <c r="AL29" s="149">
        <f t="shared" si="7"/>
        <v>0</v>
      </c>
      <c r="AM29" s="149">
        <f t="shared" si="22"/>
        <v>0</v>
      </c>
      <c r="AN29" s="142">
        <v>0</v>
      </c>
      <c r="AO29" s="150" t="str">
        <f t="shared" si="8"/>
        <v/>
      </c>
      <c r="AP29" s="218"/>
      <c r="AQ29" s="142"/>
      <c r="AR29" s="165"/>
    </row>
    <row r="30" spans="1:44" x14ac:dyDescent="0.25">
      <c r="A30" s="230"/>
      <c r="B30" s="230"/>
      <c r="C30" s="230"/>
      <c r="D30" s="230"/>
      <c r="E30" s="151">
        <v>3</v>
      </c>
      <c r="F30" s="128">
        <f t="shared" si="24"/>
        <v>47.849999999999994</v>
      </c>
      <c r="G30" s="151">
        <v>2</v>
      </c>
      <c r="H30" s="146">
        <f t="shared" ref="H30:I31" si="34">+H29</f>
        <v>47.875</v>
      </c>
      <c r="I30" s="142">
        <f t="shared" si="34"/>
        <v>80</v>
      </c>
      <c r="J30" s="143">
        <f t="shared" si="9"/>
        <v>-3.1250000000007108E-4</v>
      </c>
      <c r="K30" s="142">
        <f t="shared" ref="K30:K31" si="35">+K29</f>
        <v>158</v>
      </c>
      <c r="L30" s="128">
        <f t="shared" si="10"/>
        <v>5.1920402377148429</v>
      </c>
      <c r="M30" s="144">
        <f t="shared" si="11"/>
        <v>5.1920402377148428E-3</v>
      </c>
      <c r="N30" s="144">
        <f t="shared" si="0"/>
        <v>0</v>
      </c>
      <c r="O30" s="144">
        <f t="shared" si="1"/>
        <v>0</v>
      </c>
      <c r="P30" s="145">
        <f t="shared" si="12"/>
        <v>0</v>
      </c>
      <c r="Q30" s="113" t="str">
        <f>IF(O30&gt;0,VLOOKUP(P30,'$ alcantarillado'!$I$5:$L$22,4,FALSE),"0")</f>
        <v>0</v>
      </c>
      <c r="R30" s="113" t="str">
        <f t="shared" si="2"/>
        <v/>
      </c>
      <c r="S30" s="146">
        <f t="shared" si="3"/>
        <v>0</v>
      </c>
      <c r="T30" s="145">
        <f>+IF(S30&gt;$B$13,VLOOKUP(P30,'$ alcantarillado'!$I$6:$N$22,5),P30)</f>
        <v>0</v>
      </c>
      <c r="U30" s="113" t="str">
        <f>IF(O30&gt;0,VLOOKUP(T30,'$ alcantarillado'!$I$5:$L$22,4),"0")</f>
        <v>0</v>
      </c>
      <c r="V30" s="113" t="str">
        <f t="shared" si="4"/>
        <v/>
      </c>
      <c r="W30" s="146">
        <f t="shared" si="5"/>
        <v>0</v>
      </c>
      <c r="X30" s="146" t="str">
        <f t="shared" si="25"/>
        <v/>
      </c>
      <c r="Y30" s="113" t="str">
        <f>IF(T30&gt;0,(VLOOKUP($W30,Relaciones!$A$4:$D$108,2)),"")</f>
        <v/>
      </c>
      <c r="Z30" s="146" t="str">
        <f t="shared" si="26"/>
        <v/>
      </c>
      <c r="AA30" s="146" t="str">
        <f t="shared" si="27"/>
        <v/>
      </c>
      <c r="AB30" s="147" t="str">
        <f t="shared" si="28"/>
        <v/>
      </c>
      <c r="AC30" s="147" t="str">
        <f t="shared" si="29"/>
        <v/>
      </c>
      <c r="AD30" s="147" t="str">
        <f t="shared" si="30"/>
        <v/>
      </c>
      <c r="AE30" s="148">
        <f t="shared" si="31"/>
        <v>0</v>
      </c>
      <c r="AF30" s="148">
        <f t="shared" si="31"/>
        <v>0</v>
      </c>
      <c r="AG30" s="148">
        <f t="shared" si="31"/>
        <v>0</v>
      </c>
      <c r="AH30" s="148">
        <f t="shared" si="32"/>
        <v>0</v>
      </c>
      <c r="AI30" s="147">
        <f t="shared" si="33"/>
        <v>0</v>
      </c>
      <c r="AJ30" s="149">
        <f>IF(AI30&gt;0,I30*VLOOKUP(T30,'$ alcantarillado'!$I$6:$K$22,3),0)</f>
        <v>0</v>
      </c>
      <c r="AK30" s="149">
        <f t="shared" si="6"/>
        <v>0</v>
      </c>
      <c r="AL30" s="149">
        <f t="shared" si="7"/>
        <v>0</v>
      </c>
      <c r="AM30" s="149">
        <f t="shared" si="22"/>
        <v>0</v>
      </c>
      <c r="AN30" s="142">
        <v>0</v>
      </c>
      <c r="AO30" s="150" t="str">
        <f t="shared" si="8"/>
        <v/>
      </c>
      <c r="AP30" s="219"/>
      <c r="AQ30" s="142"/>
      <c r="AR30" s="165"/>
    </row>
    <row r="31" spans="1:44" x14ac:dyDescent="0.25">
      <c r="A31" s="230"/>
      <c r="B31" s="230"/>
      <c r="C31" s="230"/>
      <c r="D31" s="230"/>
      <c r="E31" s="151">
        <v>4</v>
      </c>
      <c r="F31" s="128">
        <f t="shared" si="24"/>
        <v>47.724999999999994</v>
      </c>
      <c r="G31" s="151">
        <v>2</v>
      </c>
      <c r="H31" s="146">
        <f t="shared" si="34"/>
        <v>47.875</v>
      </c>
      <c r="I31" s="142">
        <f t="shared" si="34"/>
        <v>80</v>
      </c>
      <c r="J31" s="143">
        <f>+(F31-H31)/I31</f>
        <v>-1.8750000000000711E-3</v>
      </c>
      <c r="K31" s="142">
        <f t="shared" si="35"/>
        <v>158</v>
      </c>
      <c r="L31" s="128">
        <f t="shared" si="10"/>
        <v>5.1920402377148429</v>
      </c>
      <c r="M31" s="144">
        <f t="shared" si="11"/>
        <v>5.1920402377148428E-3</v>
      </c>
      <c r="N31" s="144">
        <f t="shared" si="0"/>
        <v>0</v>
      </c>
      <c r="O31" s="144">
        <f t="shared" si="1"/>
        <v>0</v>
      </c>
      <c r="P31" s="145">
        <f t="shared" si="12"/>
        <v>0</v>
      </c>
      <c r="Q31" s="113" t="str">
        <f>IF(O31&gt;0,VLOOKUP(P31,'$ alcantarillado'!$I$5:$L$22,4,FALSE),"0")</f>
        <v>0</v>
      </c>
      <c r="R31" s="113" t="str">
        <f t="shared" si="2"/>
        <v/>
      </c>
      <c r="S31" s="146">
        <f t="shared" si="3"/>
        <v>0</v>
      </c>
      <c r="T31" s="145">
        <f>+IF(S31&gt;$B$13,VLOOKUP(P31,'$ alcantarillado'!$I$6:$N$22,5),P31)</f>
        <v>0</v>
      </c>
      <c r="U31" s="113" t="str">
        <f>IF(O31&gt;0,VLOOKUP(T31,'$ alcantarillado'!$I$5:$L$22,4),"0")</f>
        <v>0</v>
      </c>
      <c r="V31" s="113" t="str">
        <f t="shared" si="4"/>
        <v/>
      </c>
      <c r="W31" s="146">
        <f t="shared" si="5"/>
        <v>0</v>
      </c>
      <c r="X31" s="146" t="str">
        <f t="shared" si="25"/>
        <v/>
      </c>
      <c r="Y31" s="113" t="str">
        <f>IF(T31&gt;0,(VLOOKUP($W31,Relaciones!$A$4:$D$108,2)),"")</f>
        <v/>
      </c>
      <c r="Z31" s="146" t="str">
        <f t="shared" si="26"/>
        <v/>
      </c>
      <c r="AA31" s="146" t="str">
        <f t="shared" si="27"/>
        <v/>
      </c>
      <c r="AB31" s="147" t="str">
        <f t="shared" si="28"/>
        <v/>
      </c>
      <c r="AC31" s="147" t="str">
        <f t="shared" si="29"/>
        <v/>
      </c>
      <c r="AD31" s="147" t="str">
        <f t="shared" si="30"/>
        <v/>
      </c>
      <c r="AE31" s="148">
        <f t="shared" si="31"/>
        <v>0</v>
      </c>
      <c r="AF31" s="148">
        <f t="shared" si="31"/>
        <v>0</v>
      </c>
      <c r="AG31" s="148">
        <f t="shared" si="31"/>
        <v>0</v>
      </c>
      <c r="AH31" s="148">
        <f t="shared" si="32"/>
        <v>0</v>
      </c>
      <c r="AI31" s="147">
        <f t="shared" si="33"/>
        <v>0</v>
      </c>
      <c r="AJ31" s="149">
        <f>IF(AI31&gt;0,I31*VLOOKUP(T31,'$ alcantarillado'!$I$6:$K$22,3),0)</f>
        <v>0</v>
      </c>
      <c r="AK31" s="149">
        <f t="shared" si="6"/>
        <v>0</v>
      </c>
      <c r="AL31" s="149">
        <f t="shared" si="7"/>
        <v>0</v>
      </c>
      <c r="AM31" s="149">
        <f t="shared" si="22"/>
        <v>0</v>
      </c>
      <c r="AN31" s="142">
        <v>0</v>
      </c>
      <c r="AO31" s="150" t="str">
        <f t="shared" si="8"/>
        <v/>
      </c>
      <c r="AP31" s="219"/>
      <c r="AQ31" s="142"/>
      <c r="AR31" s="165"/>
    </row>
    <row r="32" spans="1:44" ht="15.75" thickBot="1" x14ac:dyDescent="0.3">
      <c r="A32" s="230"/>
      <c r="B32" s="230"/>
      <c r="C32" s="230"/>
      <c r="D32" s="230"/>
      <c r="E32" s="152">
        <v>5</v>
      </c>
      <c r="F32" s="153">
        <f t="shared" si="24"/>
        <v>47.599999999999994</v>
      </c>
      <c r="G32" s="152">
        <v>2</v>
      </c>
      <c r="H32" s="169">
        <f>+H31</f>
        <v>47.875</v>
      </c>
      <c r="I32" s="154">
        <f>+I31</f>
        <v>80</v>
      </c>
      <c r="J32" s="155">
        <f t="shared" si="9"/>
        <v>-3.4375000000000711E-3</v>
      </c>
      <c r="K32" s="154">
        <f>+K31</f>
        <v>158</v>
      </c>
      <c r="L32" s="153">
        <f t="shared" si="10"/>
        <v>5.1920402377148429</v>
      </c>
      <c r="M32" s="156">
        <f t="shared" si="11"/>
        <v>5.1920402377148428E-3</v>
      </c>
      <c r="N32" s="156">
        <f t="shared" si="0"/>
        <v>0</v>
      </c>
      <c r="O32" s="156">
        <f t="shared" si="1"/>
        <v>0</v>
      </c>
      <c r="P32" s="157">
        <f t="shared" si="12"/>
        <v>0</v>
      </c>
      <c r="Q32" s="113" t="str">
        <f>IF(O32&gt;0,VLOOKUP(P32,'$ alcantarillado'!$I$5:$L$22,4,FALSE),"0")</f>
        <v>0</v>
      </c>
      <c r="R32" s="160" t="str">
        <f t="shared" si="2"/>
        <v/>
      </c>
      <c r="S32" s="146">
        <f t="shared" si="3"/>
        <v>0</v>
      </c>
      <c r="T32" s="145">
        <f>+IF(S32&gt;$B$13,VLOOKUP(P32,'$ alcantarillado'!$I$6:$N$22,5),P32)</f>
        <v>0</v>
      </c>
      <c r="U32" s="113" t="str">
        <f>IF(O32&gt;0,VLOOKUP(T32,'$ alcantarillado'!$I$5:$L$22,4),"0")</f>
        <v>0</v>
      </c>
      <c r="V32" s="113" t="str">
        <f t="shared" si="4"/>
        <v/>
      </c>
      <c r="W32" s="146">
        <f t="shared" si="5"/>
        <v>0</v>
      </c>
      <c r="X32" s="146" t="str">
        <f t="shared" si="25"/>
        <v/>
      </c>
      <c r="Y32" s="113" t="str">
        <f>IF(T32&gt;0,(VLOOKUP($W32,Relaciones!$A$4:$D$108,2)),"")</f>
        <v/>
      </c>
      <c r="Z32" s="146" t="str">
        <f t="shared" si="26"/>
        <v/>
      </c>
      <c r="AA32" s="146" t="str">
        <f t="shared" si="27"/>
        <v/>
      </c>
      <c r="AB32" s="147" t="str">
        <f t="shared" si="28"/>
        <v/>
      </c>
      <c r="AC32" s="147" t="str">
        <f t="shared" si="29"/>
        <v/>
      </c>
      <c r="AD32" s="147" t="str">
        <f t="shared" si="30"/>
        <v/>
      </c>
      <c r="AE32" s="148">
        <f t="shared" si="31"/>
        <v>0</v>
      </c>
      <c r="AF32" s="148">
        <f t="shared" si="31"/>
        <v>0</v>
      </c>
      <c r="AG32" s="148">
        <f t="shared" si="31"/>
        <v>0</v>
      </c>
      <c r="AH32" s="148">
        <f t="shared" si="32"/>
        <v>0</v>
      </c>
      <c r="AI32" s="147">
        <f t="shared" si="33"/>
        <v>0</v>
      </c>
      <c r="AJ32" s="158">
        <f>IF(AI32&gt;0,I32*VLOOKUP(T32,'$ alcantarillado'!$I$6:$K$22,3),0)</f>
        <v>0</v>
      </c>
      <c r="AK32" s="158">
        <f t="shared" si="6"/>
        <v>0</v>
      </c>
      <c r="AL32" s="158">
        <f t="shared" si="7"/>
        <v>0</v>
      </c>
      <c r="AM32" s="158">
        <f t="shared" si="22"/>
        <v>0</v>
      </c>
      <c r="AN32" s="154">
        <v>0</v>
      </c>
      <c r="AO32" s="159" t="str">
        <f t="shared" si="8"/>
        <v/>
      </c>
      <c r="AP32" s="220"/>
      <c r="AQ32" s="154"/>
      <c r="AR32" s="166"/>
    </row>
    <row r="33" spans="1:44" x14ac:dyDescent="0.25">
      <c r="A33" s="230"/>
      <c r="B33" s="230"/>
      <c r="C33" s="230"/>
      <c r="D33" s="230"/>
      <c r="E33" s="127">
        <v>1</v>
      </c>
      <c r="F33" s="132">
        <f t="shared" si="24"/>
        <v>48.099999999999994</v>
      </c>
      <c r="G33" s="127">
        <v>3</v>
      </c>
      <c r="H33" s="136">
        <f>+'LOGIKA AN-2'!H23</f>
        <v>47.75</v>
      </c>
      <c r="I33" s="129">
        <f t="shared" ref="I33:K33" si="36">+I32</f>
        <v>80</v>
      </c>
      <c r="J33" s="143">
        <f>+(F33-H33)/I33</f>
        <v>4.3749999999999293E-3</v>
      </c>
      <c r="K33" s="129">
        <f t="shared" si="36"/>
        <v>158</v>
      </c>
      <c r="L33" s="132">
        <f>IF(K33&lt;38,K33^0.3686*0.7401,IF(K33&lt;235,K33^0.4193*0.6215,IF(K33&lt;932,K33*0.0092+4.2493,K33*0.0069+6.7345)))</f>
        <v>5.1920402377148429</v>
      </c>
      <c r="M33" s="133">
        <f>+L33/1000</f>
        <v>5.1920402377148428E-3</v>
      </c>
      <c r="N33" s="133">
        <f t="shared" si="0"/>
        <v>0.10602900237114536</v>
      </c>
      <c r="O33" s="133">
        <f t="shared" si="1"/>
        <v>4.1743701720923374</v>
      </c>
      <c r="P33" s="134">
        <f t="shared" si="12"/>
        <v>6</v>
      </c>
      <c r="Q33" s="135">
        <f>IF(O33&gt;0,VLOOKUP(P33,'$ alcantarillado'!$I$5:$L$22,4,FALSE),"0")</f>
        <v>0.14499999999999999</v>
      </c>
      <c r="R33" s="135">
        <f t="shared" si="2"/>
        <v>1.1963371481010138E-2</v>
      </c>
      <c r="S33" s="136">
        <f t="shared" si="3"/>
        <v>0.43399473517614517</v>
      </c>
      <c r="T33" s="134">
        <f>+IF(S33&gt;$B$13,VLOOKUP(P33,'$ alcantarillado'!$I$6:$N$22,5),P33)</f>
        <v>6</v>
      </c>
      <c r="U33" s="135">
        <f>IF(O33&gt;0,VLOOKUP(T33,'$ alcantarillado'!$I$5:$L$22,4),"0")</f>
        <v>0.14499999999999999</v>
      </c>
      <c r="V33" s="135">
        <f t="shared" si="4"/>
        <v>1.1963371481010138E-2</v>
      </c>
      <c r="W33" s="136">
        <f t="shared" si="5"/>
        <v>0.43399473517614517</v>
      </c>
      <c r="X33" s="136">
        <f>IF(T33&gt;0,4*V33/(PI()*(U33)^2),"")</f>
        <v>0.72448217160423212</v>
      </c>
      <c r="Y33" s="135">
        <f>IF(T33&gt;0,(VLOOKUP($W33,Relaciones!$A$4:$D$108,2)),"")</f>
        <v>0.81</v>
      </c>
      <c r="Z33" s="136">
        <f>IF(T33&gt;0,Y33*X33,"")</f>
        <v>0.58683055899942804</v>
      </c>
      <c r="AA33" s="136">
        <f>IF(T33&gt;0,250*U33*J33,"")</f>
        <v>0.15859374999999742</v>
      </c>
      <c r="AB33" s="137" t="str">
        <f>IF(T33&gt;0,IF(W33&lt;=$B$13,"OK","No Cumple"),"")</f>
        <v>OK</v>
      </c>
      <c r="AC33" s="137" t="str">
        <f>IF(T33&gt;0,IF(Z33&gt;=$B$12,"OK","No Cumple"),"")</f>
        <v>OK</v>
      </c>
      <c r="AD33" s="137" t="str">
        <f>IF(T33&gt;0,IF(AA33&gt;$B$14,"OK","No Cumple"),"")</f>
        <v>OK</v>
      </c>
      <c r="AE33" s="138">
        <f>+IF(AB33="OK",1,0)</f>
        <v>1</v>
      </c>
      <c r="AF33" s="138">
        <f>+IF(AC33="OK",1,0)</f>
        <v>1</v>
      </c>
      <c r="AG33" s="138">
        <f>+IF(AD33="OK",1,0)</f>
        <v>1</v>
      </c>
      <c r="AH33" s="138">
        <f>SUM(AE33:AG33)</f>
        <v>3</v>
      </c>
      <c r="AI33" s="137">
        <f>IF(AH33=3,2*$B$7+U33,0)</f>
        <v>0.64500000000000002</v>
      </c>
      <c r="AJ33" s="139">
        <f>IF(AI33&gt;0,I33*VLOOKUP(T33,'$ alcantarillado'!$I$6:$K$22,3),0)</f>
        <v>1912173.3333333335</v>
      </c>
      <c r="AK33" s="139">
        <f t="shared" si="6"/>
        <v>1989954.0000000042</v>
      </c>
      <c r="AL33" s="139">
        <f t="shared" si="7"/>
        <v>938784.44500000204</v>
      </c>
      <c r="AM33" s="139">
        <f>IF(AJ33&gt;0,AJ33+AK33+AL33,0)</f>
        <v>4840911.7783333398</v>
      </c>
      <c r="AN33" s="129">
        <v>0</v>
      </c>
      <c r="AO33" s="173">
        <f t="shared" si="8"/>
        <v>4840911.7783333398</v>
      </c>
      <c r="AP33" s="247">
        <f>+MIN(AO33:AO37)</f>
        <v>4840911.7783333398</v>
      </c>
      <c r="AQ33" s="129"/>
      <c r="AR33" s="163"/>
    </row>
    <row r="34" spans="1:44" x14ac:dyDescent="0.25">
      <c r="A34" s="230"/>
      <c r="B34" s="230"/>
      <c r="C34" s="230"/>
      <c r="D34" s="230"/>
      <c r="E34" s="141">
        <v>2</v>
      </c>
      <c r="F34" s="128">
        <f t="shared" si="24"/>
        <v>47.974999999999994</v>
      </c>
      <c r="G34" s="141">
        <v>3</v>
      </c>
      <c r="H34" s="142">
        <f>+H33</f>
        <v>47.75</v>
      </c>
      <c r="I34" s="142">
        <f>+I33</f>
        <v>80</v>
      </c>
      <c r="J34" s="143">
        <f t="shared" si="9"/>
        <v>2.8124999999999288E-3</v>
      </c>
      <c r="K34" s="142">
        <f>+K33</f>
        <v>158</v>
      </c>
      <c r="L34" s="128">
        <f t="shared" si="10"/>
        <v>5.1920402377148429</v>
      </c>
      <c r="M34" s="144">
        <f t="shared" si="11"/>
        <v>5.1920402377148428E-3</v>
      </c>
      <c r="N34" s="144">
        <f t="shared" si="0"/>
        <v>0.11518693207929813</v>
      </c>
      <c r="O34" s="144">
        <f t="shared" si="1"/>
        <v>4.5349185857991392</v>
      </c>
      <c r="P34" s="145">
        <f t="shared" si="12"/>
        <v>6</v>
      </c>
      <c r="Q34" s="113">
        <f>IF(O34&gt;0,VLOOKUP(P34,'$ alcantarillado'!$I$5:$L$22,4,FALSE),"0")</f>
        <v>0.14499999999999999</v>
      </c>
      <c r="R34" s="113">
        <f t="shared" si="2"/>
        <v>9.5920365584233041E-3</v>
      </c>
      <c r="S34" s="146">
        <f t="shared" si="3"/>
        <v>0.54128653556427719</v>
      </c>
      <c r="T34" s="145">
        <f>+IF(S34&gt;$B$13,VLOOKUP(P34,'$ alcantarillado'!$I$6:$N$22,5),P34)</f>
        <v>6</v>
      </c>
      <c r="U34" s="113">
        <f>IF(O34&gt;0,VLOOKUP(T34,'$ alcantarillado'!$I$5:$L$22,4),"0")</f>
        <v>0.14499999999999999</v>
      </c>
      <c r="V34" s="113">
        <f t="shared" si="4"/>
        <v>9.5920365584233041E-3</v>
      </c>
      <c r="W34" s="146">
        <f t="shared" si="5"/>
        <v>0.54128653556427719</v>
      </c>
      <c r="X34" s="146">
        <f t="shared" ref="X34:X37" si="37">IF(T34&gt;0,4*V34/(PI()*(U34)^2),"")</f>
        <v>0.58087801477906897</v>
      </c>
      <c r="Y34" s="113">
        <f>IF(T34&gt;0,(VLOOKUP($W34,Relaciones!$A$4:$D$108,2)),"")</f>
        <v>0.87</v>
      </c>
      <c r="Z34" s="146">
        <f t="shared" ref="Z34:Z37" si="38">IF(T34&gt;0,Y34*X34,"")</f>
        <v>0.50536387285779005</v>
      </c>
      <c r="AA34" s="146">
        <f t="shared" ref="AA34:AA37" si="39">IF(T34&gt;0,250*U34*J34,"")</f>
        <v>0.10195312499999742</v>
      </c>
      <c r="AB34" s="147" t="str">
        <f t="shared" ref="AB34:AB37" si="40">IF(T34&gt;0,IF(W34&lt;=$B$13,"OK","No Cumple"),"")</f>
        <v>OK</v>
      </c>
      <c r="AC34" s="147" t="str">
        <f t="shared" ref="AC34:AC37" si="41">IF(T34&gt;0,IF(Z34&gt;=$B$12,"OK","No Cumple"),"")</f>
        <v>OK</v>
      </c>
      <c r="AD34" s="147" t="str">
        <f t="shared" ref="AD34:AD37" si="42">IF(T34&gt;0,IF(AA34&gt;$B$14,"OK","No Cumple"),"")</f>
        <v>No Cumple</v>
      </c>
      <c r="AE34" s="148">
        <f t="shared" ref="AE34:AG37" si="43">+IF(AB34="OK",1,0)</f>
        <v>1</v>
      </c>
      <c r="AF34" s="148">
        <f t="shared" si="43"/>
        <v>1</v>
      </c>
      <c r="AG34" s="148">
        <f t="shared" si="43"/>
        <v>0</v>
      </c>
      <c r="AH34" s="148">
        <f t="shared" ref="AH34:AH37" si="44">SUM(AE34:AG34)</f>
        <v>2</v>
      </c>
      <c r="AI34" s="147">
        <f t="shared" ref="AI34:AI37" si="45">IF(AH34=3,2*$B$7+U34,0)</f>
        <v>0</v>
      </c>
      <c r="AJ34" s="149">
        <f>IF(AI34&gt;0,I34*VLOOKUP(T34,'$ alcantarillado'!$I$6:$K$22,3),0)</f>
        <v>0</v>
      </c>
      <c r="AK34" s="149">
        <f t="shared" si="6"/>
        <v>0</v>
      </c>
      <c r="AL34" s="149">
        <f t="shared" si="7"/>
        <v>0</v>
      </c>
      <c r="AM34" s="149">
        <f t="shared" si="22"/>
        <v>0</v>
      </c>
      <c r="AN34" s="142">
        <v>0</v>
      </c>
      <c r="AO34" s="150" t="str">
        <f t="shared" si="8"/>
        <v/>
      </c>
      <c r="AP34" s="226"/>
      <c r="AQ34" s="142"/>
      <c r="AR34" s="165"/>
    </row>
    <row r="35" spans="1:44" x14ac:dyDescent="0.25">
      <c r="A35" s="230"/>
      <c r="B35" s="230"/>
      <c r="C35" s="230"/>
      <c r="D35" s="230"/>
      <c r="E35" s="151">
        <v>3</v>
      </c>
      <c r="F35" s="128">
        <f t="shared" si="24"/>
        <v>47.849999999999994</v>
      </c>
      <c r="G35" s="141">
        <v>3</v>
      </c>
      <c r="H35" s="142">
        <f t="shared" ref="H35:I36" si="46">+H34</f>
        <v>47.75</v>
      </c>
      <c r="I35" s="142">
        <f t="shared" si="46"/>
        <v>80</v>
      </c>
      <c r="J35" s="143">
        <f t="shared" si="9"/>
        <v>1.2499999999999289E-3</v>
      </c>
      <c r="K35" s="142">
        <f t="shared" ref="K35:K36" si="47">+K34</f>
        <v>158</v>
      </c>
      <c r="L35" s="128">
        <f t="shared" si="10"/>
        <v>5.1920402377148429</v>
      </c>
      <c r="M35" s="144">
        <f t="shared" si="11"/>
        <v>5.1920402377148428E-3</v>
      </c>
      <c r="N35" s="144">
        <f t="shared" si="0"/>
        <v>0.13410267267565754</v>
      </c>
      <c r="O35" s="144">
        <f t="shared" si="1"/>
        <v>5.2796327825062024</v>
      </c>
      <c r="P35" s="145">
        <f t="shared" si="12"/>
        <v>6</v>
      </c>
      <c r="Q35" s="113">
        <f>IF(O35&gt;0,VLOOKUP(P35,'$ alcantarillado'!$I$5:$L$22,4,FALSE),"0")</f>
        <v>0.14499999999999999</v>
      </c>
      <c r="R35" s="113">
        <f t="shared" si="2"/>
        <v>6.3946910389487679E-3</v>
      </c>
      <c r="S35" s="146">
        <f t="shared" si="3"/>
        <v>0.81192980334642872</v>
      </c>
      <c r="T35" s="145">
        <f>+IF(S35&gt;$B$13,VLOOKUP(P35,'$ alcantarillado'!$I$6:$N$22,5),P35)</f>
        <v>6</v>
      </c>
      <c r="U35" s="113">
        <f>IF(O35&gt;0,VLOOKUP(T35,'$ alcantarillado'!$I$5:$L$22,4),"0")</f>
        <v>0.14499999999999999</v>
      </c>
      <c r="V35" s="113">
        <f t="shared" si="4"/>
        <v>6.3946910389487679E-3</v>
      </c>
      <c r="W35" s="146">
        <f t="shared" si="5"/>
        <v>0.81192980334642872</v>
      </c>
      <c r="X35" s="146">
        <f t="shared" si="37"/>
        <v>0.38725200985270652</v>
      </c>
      <c r="Y35" s="113">
        <f>IF(T35&gt;0,(VLOOKUP($W35,Relaciones!$A$4:$D$108,2)),"")</f>
        <v>0.98699999999999999</v>
      </c>
      <c r="Z35" s="146">
        <f t="shared" si="38"/>
        <v>0.38221773372462131</v>
      </c>
      <c r="AA35" s="146">
        <f t="shared" si="39"/>
        <v>4.5312499999997424E-2</v>
      </c>
      <c r="AB35" s="147" t="str">
        <f t="shared" si="40"/>
        <v>OK</v>
      </c>
      <c r="AC35" s="147" t="str">
        <f t="shared" si="41"/>
        <v>No Cumple</v>
      </c>
      <c r="AD35" s="147" t="str">
        <f t="shared" si="42"/>
        <v>No Cumple</v>
      </c>
      <c r="AE35" s="148">
        <f t="shared" si="43"/>
        <v>1</v>
      </c>
      <c r="AF35" s="148">
        <f t="shared" si="43"/>
        <v>0</v>
      </c>
      <c r="AG35" s="148">
        <f t="shared" si="43"/>
        <v>0</v>
      </c>
      <c r="AH35" s="148">
        <f t="shared" si="44"/>
        <v>1</v>
      </c>
      <c r="AI35" s="147">
        <f t="shared" si="45"/>
        <v>0</v>
      </c>
      <c r="AJ35" s="149">
        <f>IF(AI35&gt;0,I35*VLOOKUP(T35,'$ alcantarillado'!$I$6:$K$22,3),0)</f>
        <v>0</v>
      </c>
      <c r="AK35" s="149">
        <f t="shared" si="6"/>
        <v>0</v>
      </c>
      <c r="AL35" s="149">
        <f t="shared" si="7"/>
        <v>0</v>
      </c>
      <c r="AM35" s="149">
        <f t="shared" si="22"/>
        <v>0</v>
      </c>
      <c r="AN35" s="142">
        <v>0</v>
      </c>
      <c r="AO35" s="150" t="str">
        <f t="shared" si="8"/>
        <v/>
      </c>
      <c r="AP35" s="227"/>
      <c r="AQ35" s="142"/>
      <c r="AR35" s="165"/>
    </row>
    <row r="36" spans="1:44" x14ac:dyDescent="0.25">
      <c r="A36" s="230"/>
      <c r="B36" s="230"/>
      <c r="C36" s="230"/>
      <c r="D36" s="230"/>
      <c r="E36" s="151">
        <v>4</v>
      </c>
      <c r="F36" s="128">
        <f t="shared" si="24"/>
        <v>47.724999999999994</v>
      </c>
      <c r="G36" s="141">
        <v>3</v>
      </c>
      <c r="H36" s="142">
        <f t="shared" si="46"/>
        <v>47.75</v>
      </c>
      <c r="I36" s="142">
        <f t="shared" si="46"/>
        <v>80</v>
      </c>
      <c r="J36" s="143">
        <f>+(F36-H36)/I36</f>
        <v>-3.1250000000007108E-4</v>
      </c>
      <c r="K36" s="142">
        <f t="shared" si="47"/>
        <v>158</v>
      </c>
      <c r="L36" s="128">
        <f t="shared" si="10"/>
        <v>5.1920402377148429</v>
      </c>
      <c r="M36" s="144">
        <f t="shared" si="11"/>
        <v>5.1920402377148428E-3</v>
      </c>
      <c r="N36" s="144">
        <f t="shared" si="0"/>
        <v>0</v>
      </c>
      <c r="O36" s="144">
        <f t="shared" si="1"/>
        <v>0</v>
      </c>
      <c r="P36" s="145">
        <f t="shared" si="12"/>
        <v>0</v>
      </c>
      <c r="Q36" s="113" t="str">
        <f>IF(O36&gt;0,VLOOKUP(P36,'$ alcantarillado'!$I$5:$L$22,4,FALSE),"0")</f>
        <v>0</v>
      </c>
      <c r="R36" s="113" t="str">
        <f t="shared" si="2"/>
        <v/>
      </c>
      <c r="S36" s="146">
        <f t="shared" si="3"/>
        <v>0</v>
      </c>
      <c r="T36" s="145">
        <f>+IF(S36&gt;$B$13,VLOOKUP(P36,'$ alcantarillado'!$I$6:$N$22,5),P36)</f>
        <v>0</v>
      </c>
      <c r="U36" s="113" t="str">
        <f>IF(O36&gt;0,VLOOKUP(T36,'$ alcantarillado'!$I$5:$L$22,4),"0")</f>
        <v>0</v>
      </c>
      <c r="V36" s="113" t="str">
        <f t="shared" si="4"/>
        <v/>
      </c>
      <c r="W36" s="146">
        <f t="shared" si="5"/>
        <v>0</v>
      </c>
      <c r="X36" s="146" t="str">
        <f t="shared" si="37"/>
        <v/>
      </c>
      <c r="Y36" s="113" t="str">
        <f>IF(T36&gt;0,(VLOOKUP($W36,Relaciones!$A$4:$D$108,2)),"")</f>
        <v/>
      </c>
      <c r="Z36" s="146" t="str">
        <f t="shared" si="38"/>
        <v/>
      </c>
      <c r="AA36" s="146" t="str">
        <f t="shared" si="39"/>
        <v/>
      </c>
      <c r="AB36" s="147" t="str">
        <f t="shared" si="40"/>
        <v/>
      </c>
      <c r="AC36" s="147" t="str">
        <f t="shared" si="41"/>
        <v/>
      </c>
      <c r="AD36" s="147" t="str">
        <f t="shared" si="42"/>
        <v/>
      </c>
      <c r="AE36" s="148">
        <f t="shared" si="43"/>
        <v>0</v>
      </c>
      <c r="AF36" s="148">
        <f t="shared" si="43"/>
        <v>0</v>
      </c>
      <c r="AG36" s="148">
        <f t="shared" si="43"/>
        <v>0</v>
      </c>
      <c r="AH36" s="148">
        <f t="shared" si="44"/>
        <v>0</v>
      </c>
      <c r="AI36" s="147">
        <f t="shared" si="45"/>
        <v>0</v>
      </c>
      <c r="AJ36" s="149">
        <f>IF(AI36&gt;0,I36*VLOOKUP(T36,'$ alcantarillado'!$I$6:$K$22,3),0)</f>
        <v>0</v>
      </c>
      <c r="AK36" s="149">
        <f t="shared" si="6"/>
        <v>0</v>
      </c>
      <c r="AL36" s="149">
        <f t="shared" si="7"/>
        <v>0</v>
      </c>
      <c r="AM36" s="149">
        <f t="shared" si="22"/>
        <v>0</v>
      </c>
      <c r="AN36" s="142">
        <v>0</v>
      </c>
      <c r="AO36" s="150" t="str">
        <f t="shared" si="8"/>
        <v/>
      </c>
      <c r="AP36" s="227"/>
      <c r="AQ36" s="142">
        <v>1</v>
      </c>
      <c r="AR36" s="165">
        <v>3</v>
      </c>
    </row>
    <row r="37" spans="1:44" ht="15.75" thickBot="1" x14ac:dyDescent="0.3">
      <c r="A37" s="230"/>
      <c r="B37" s="230"/>
      <c r="C37" s="230"/>
      <c r="D37" s="230"/>
      <c r="E37" s="152">
        <v>5</v>
      </c>
      <c r="F37" s="153">
        <f t="shared" si="24"/>
        <v>47.599999999999994</v>
      </c>
      <c r="G37" s="152">
        <v>3</v>
      </c>
      <c r="H37" s="154">
        <f>+H36</f>
        <v>47.75</v>
      </c>
      <c r="I37" s="154">
        <f>+I36</f>
        <v>80</v>
      </c>
      <c r="J37" s="155">
        <f t="shared" si="9"/>
        <v>-1.8750000000000711E-3</v>
      </c>
      <c r="K37" s="154">
        <f>+K36</f>
        <v>158</v>
      </c>
      <c r="L37" s="153">
        <f t="shared" si="10"/>
        <v>5.1920402377148429</v>
      </c>
      <c r="M37" s="156">
        <f t="shared" si="11"/>
        <v>5.1920402377148428E-3</v>
      </c>
      <c r="N37" s="156">
        <f t="shared" si="0"/>
        <v>0</v>
      </c>
      <c r="O37" s="156">
        <f t="shared" si="1"/>
        <v>0</v>
      </c>
      <c r="P37" s="157">
        <f t="shared" si="12"/>
        <v>0</v>
      </c>
      <c r="Q37" s="113" t="str">
        <f>IF(O37&gt;0,VLOOKUP(P37,'$ alcantarillado'!$I$5:$L$22,4,FALSE),"0")</f>
        <v>0</v>
      </c>
      <c r="R37" s="160" t="str">
        <f t="shared" si="2"/>
        <v/>
      </c>
      <c r="S37" s="146">
        <f t="shared" si="3"/>
        <v>0</v>
      </c>
      <c r="T37" s="145">
        <f>+IF(S37&gt;$B$13,VLOOKUP(P37,'$ alcantarillado'!$I$6:$N$22,5),P37)</f>
        <v>0</v>
      </c>
      <c r="U37" s="113" t="str">
        <f>IF(O37&gt;0,VLOOKUP(T37,'$ alcantarillado'!$I$5:$L$22,4),"0")</f>
        <v>0</v>
      </c>
      <c r="V37" s="113" t="str">
        <f t="shared" si="4"/>
        <v/>
      </c>
      <c r="W37" s="146">
        <f t="shared" si="5"/>
        <v>0</v>
      </c>
      <c r="X37" s="146" t="str">
        <f t="shared" si="37"/>
        <v/>
      </c>
      <c r="Y37" s="113" t="str">
        <f>IF(T37&gt;0,(VLOOKUP($W37,Relaciones!$A$4:$D$108,2)),"")</f>
        <v/>
      </c>
      <c r="Z37" s="146" t="str">
        <f t="shared" si="38"/>
        <v/>
      </c>
      <c r="AA37" s="146" t="str">
        <f t="shared" si="39"/>
        <v/>
      </c>
      <c r="AB37" s="147" t="str">
        <f t="shared" si="40"/>
        <v/>
      </c>
      <c r="AC37" s="147" t="str">
        <f t="shared" si="41"/>
        <v/>
      </c>
      <c r="AD37" s="147" t="str">
        <f t="shared" si="42"/>
        <v/>
      </c>
      <c r="AE37" s="148">
        <f t="shared" si="43"/>
        <v>0</v>
      </c>
      <c r="AF37" s="148">
        <f t="shared" si="43"/>
        <v>0</v>
      </c>
      <c r="AG37" s="148">
        <f t="shared" si="43"/>
        <v>0</v>
      </c>
      <c r="AH37" s="148">
        <f t="shared" si="44"/>
        <v>0</v>
      </c>
      <c r="AI37" s="147">
        <f t="shared" si="45"/>
        <v>0</v>
      </c>
      <c r="AJ37" s="158">
        <f>IF(AI37&gt;0,I37*VLOOKUP(T37,'$ alcantarillado'!$I$6:$K$22,3),0)</f>
        <v>0</v>
      </c>
      <c r="AK37" s="158">
        <f t="shared" si="6"/>
        <v>0</v>
      </c>
      <c r="AL37" s="158">
        <f t="shared" si="7"/>
        <v>0</v>
      </c>
      <c r="AM37" s="158">
        <f t="shared" si="22"/>
        <v>0</v>
      </c>
      <c r="AN37" s="154">
        <v>0</v>
      </c>
      <c r="AO37" s="159" t="str">
        <f t="shared" si="8"/>
        <v/>
      </c>
      <c r="AP37" s="228"/>
      <c r="AQ37" s="154"/>
      <c r="AR37" s="166"/>
    </row>
    <row r="38" spans="1:44" x14ac:dyDescent="0.25">
      <c r="A38" s="230"/>
      <c r="B38" s="230"/>
      <c r="C38" s="230"/>
      <c r="D38" s="230"/>
      <c r="E38" s="127">
        <v>1</v>
      </c>
      <c r="F38" s="132">
        <f t="shared" si="24"/>
        <v>48.099999999999994</v>
      </c>
      <c r="G38" s="127">
        <v>4</v>
      </c>
      <c r="H38" s="132">
        <f>+H33-$B$15</f>
        <v>47.625</v>
      </c>
      <c r="I38" s="142">
        <f>+I33</f>
        <v>80</v>
      </c>
      <c r="J38" s="143">
        <f>+(F38-H38)/I38</f>
        <v>5.9374999999999289E-3</v>
      </c>
      <c r="K38" s="142">
        <f>+K33</f>
        <v>158</v>
      </c>
      <c r="L38" s="132">
        <f>IF(K38&lt;38,K38^0.3686*0.7401,IF(K38&lt;235,K38^0.4193*0.6215,IF(K38&lt;932,K38*0.0092+4.2493,K38*0.0069+6.7345)))</f>
        <v>5.1920402377148429</v>
      </c>
      <c r="M38" s="133">
        <f>+L38/1000</f>
        <v>5.1920402377148428E-3</v>
      </c>
      <c r="N38" s="133">
        <f t="shared" si="0"/>
        <v>0.10012842426186469</v>
      </c>
      <c r="O38" s="133">
        <f t="shared" si="1"/>
        <v>3.9420639473175076</v>
      </c>
      <c r="P38" s="134">
        <f t="shared" si="12"/>
        <v>6</v>
      </c>
      <c r="Q38" s="135">
        <f>IF(O38&gt;0,VLOOKUP(P38,'$ alcantarillado'!$I$5:$L$22,4,FALSE),"0")</f>
        <v>0.14499999999999999</v>
      </c>
      <c r="R38" s="135">
        <f t="shared" si="2"/>
        <v>1.3936906006971714E-2</v>
      </c>
      <c r="S38" s="136">
        <f t="shared" si="3"/>
        <v>0.37253894337219523</v>
      </c>
      <c r="T38" s="134">
        <f>+IF(S38&gt;$B$13,VLOOKUP(P38,'$ alcantarillado'!$I$6:$N$22,5),P38)</f>
        <v>6</v>
      </c>
      <c r="U38" s="135">
        <f>IF(O38&gt;0,VLOOKUP(T38,'$ alcantarillado'!$I$5:$L$22,4),"0")</f>
        <v>0.14499999999999999</v>
      </c>
      <c r="V38" s="135">
        <f t="shared" si="4"/>
        <v>1.3936906006971714E-2</v>
      </c>
      <c r="W38" s="136">
        <f t="shared" si="5"/>
        <v>0.37253894337219523</v>
      </c>
      <c r="X38" s="136">
        <f>IF(T38&gt;0,4*V38/(PI()*(U38)^2),"")</f>
        <v>0.84399618831550161</v>
      </c>
      <c r="Y38" s="135">
        <f>IF(T38&gt;0,(VLOOKUP($W38,Relaciones!$A$4:$D$108,2)),"")</f>
        <v>0.77600000000000002</v>
      </c>
      <c r="Z38" s="136">
        <f>IF(T38&gt;0,Y38*X38,"")</f>
        <v>0.65494104213282922</v>
      </c>
      <c r="AA38" s="136">
        <f>IF(T38&gt;0,250*U38*J38,"")</f>
        <v>0.21523437499999742</v>
      </c>
      <c r="AB38" s="137" t="str">
        <f>IF(T38&gt;0,IF(W38&lt;=$B$13,"OK","No Cumple"),"")</f>
        <v>OK</v>
      </c>
      <c r="AC38" s="137" t="str">
        <f>IF(T38&gt;0,IF(Z38&gt;=$B$12,"OK","No Cumple"),"")</f>
        <v>OK</v>
      </c>
      <c r="AD38" s="137" t="str">
        <f>IF(T38&gt;0,IF(AA38&gt;$B$14,"OK","No Cumple"),"")</f>
        <v>OK</v>
      </c>
      <c r="AE38" s="138">
        <f>+IF(AB38="OK",1,0)</f>
        <v>1</v>
      </c>
      <c r="AF38" s="138">
        <f>+IF(AC38="OK",1,0)</f>
        <v>1</v>
      </c>
      <c r="AG38" s="138">
        <f>+IF(AD38="OK",1,0)</f>
        <v>1</v>
      </c>
      <c r="AH38" s="138">
        <f>SUM(AE38:AG38)</f>
        <v>3</v>
      </c>
      <c r="AI38" s="137">
        <f>IF(AH38=3,2*$B$7+U38,0)</f>
        <v>0.64500000000000002</v>
      </c>
      <c r="AJ38" s="139">
        <f>IF(AI38&gt;0,I38*VLOOKUP(T38,'$ alcantarillado'!$I$6:$K$22,3),0)</f>
        <v>1912173.3333333335</v>
      </c>
      <c r="AK38" s="139">
        <f t="shared" si="6"/>
        <v>2048004.0000000042</v>
      </c>
      <c r="AL38" s="139">
        <f t="shared" si="7"/>
        <v>938784.44500000204</v>
      </c>
      <c r="AM38" s="139">
        <f>IF(AJ38&gt;0,AJ38+AK38+AL38,0)</f>
        <v>4898961.7783333398</v>
      </c>
      <c r="AN38" s="129">
        <v>0</v>
      </c>
      <c r="AO38" s="140">
        <f t="shared" si="8"/>
        <v>4898961.7783333398</v>
      </c>
      <c r="AP38" s="232">
        <f>+MIN(AO38:AO42)</f>
        <v>4898961.7783333398</v>
      </c>
      <c r="AQ38" s="129"/>
      <c r="AR38" s="163"/>
    </row>
    <row r="39" spans="1:44" x14ac:dyDescent="0.25">
      <c r="A39" s="230"/>
      <c r="B39" s="230"/>
      <c r="C39" s="230"/>
      <c r="D39" s="230"/>
      <c r="E39" s="141">
        <v>2</v>
      </c>
      <c r="F39" s="128">
        <f t="shared" si="24"/>
        <v>47.974999999999994</v>
      </c>
      <c r="G39" s="141">
        <v>4</v>
      </c>
      <c r="H39" s="128">
        <f>+H38</f>
        <v>47.625</v>
      </c>
      <c r="I39" s="142">
        <f>+I38</f>
        <v>80</v>
      </c>
      <c r="J39" s="143">
        <f t="shared" si="9"/>
        <v>4.3749999999999293E-3</v>
      </c>
      <c r="K39" s="142">
        <f>+K38</f>
        <v>158</v>
      </c>
      <c r="L39" s="128">
        <f t="shared" si="10"/>
        <v>5.1920402377148429</v>
      </c>
      <c r="M39" s="144">
        <f t="shared" si="11"/>
        <v>5.1920402377148428E-3</v>
      </c>
      <c r="N39" s="144">
        <f t="shared" si="0"/>
        <v>0.10602900237114536</v>
      </c>
      <c r="O39" s="144">
        <f t="shared" si="1"/>
        <v>4.1743701720923374</v>
      </c>
      <c r="P39" s="145">
        <f t="shared" si="12"/>
        <v>6</v>
      </c>
      <c r="Q39" s="113">
        <f>IF(O39&gt;0,VLOOKUP(P39,'$ alcantarillado'!$I$5:$L$22,4,FALSE),"0")</f>
        <v>0.14499999999999999</v>
      </c>
      <c r="R39" s="113">
        <f t="shared" si="2"/>
        <v>1.1963371481010138E-2</v>
      </c>
      <c r="S39" s="146">
        <f t="shared" si="3"/>
        <v>0.43399473517614517</v>
      </c>
      <c r="T39" s="145">
        <f>+IF(S39&gt;$B$13,VLOOKUP(P39,'$ alcantarillado'!$I$6:$N$22,5),P39)</f>
        <v>6</v>
      </c>
      <c r="U39" s="113">
        <f>IF(O39&gt;0,VLOOKUP(T39,'$ alcantarillado'!$I$5:$L$22,4),"0")</f>
        <v>0.14499999999999999</v>
      </c>
      <c r="V39" s="113">
        <f t="shared" si="4"/>
        <v>1.1963371481010138E-2</v>
      </c>
      <c r="W39" s="146">
        <f t="shared" si="5"/>
        <v>0.43399473517614517</v>
      </c>
      <c r="X39" s="146">
        <f t="shared" ref="X39:X42" si="48">IF(T39&gt;0,4*V39/(PI()*(U39)^2),"")</f>
        <v>0.72448217160423212</v>
      </c>
      <c r="Y39" s="113">
        <f>IF(T39&gt;0,(VLOOKUP($W39,Relaciones!$A$4:$D$108,2)),"")</f>
        <v>0.81</v>
      </c>
      <c r="Z39" s="146">
        <f t="shared" ref="Z39:Z42" si="49">IF(T39&gt;0,Y39*X39,"")</f>
        <v>0.58683055899942804</v>
      </c>
      <c r="AA39" s="146">
        <f t="shared" ref="AA39:AA42" si="50">IF(T39&gt;0,250*U39*J39,"")</f>
        <v>0.15859374999999742</v>
      </c>
      <c r="AB39" s="147" t="str">
        <f t="shared" ref="AB39:AB42" si="51">IF(T39&gt;0,IF(W39&lt;=$B$13,"OK","No Cumple"),"")</f>
        <v>OK</v>
      </c>
      <c r="AC39" s="147" t="str">
        <f t="shared" ref="AC39:AC42" si="52">IF(T39&gt;0,IF(Z39&gt;=$B$12,"OK","No Cumple"),"")</f>
        <v>OK</v>
      </c>
      <c r="AD39" s="147" t="str">
        <f t="shared" ref="AD39:AD42" si="53">IF(T39&gt;0,IF(AA39&gt;$B$14,"OK","No Cumple"),"")</f>
        <v>OK</v>
      </c>
      <c r="AE39" s="148">
        <f t="shared" ref="AE39:AG42" si="54">+IF(AB39="OK",1,0)</f>
        <v>1</v>
      </c>
      <c r="AF39" s="148">
        <f t="shared" si="54"/>
        <v>1</v>
      </c>
      <c r="AG39" s="148">
        <f t="shared" si="54"/>
        <v>1</v>
      </c>
      <c r="AH39" s="148">
        <f t="shared" ref="AH39:AH42" si="55">SUM(AE39:AG39)</f>
        <v>3</v>
      </c>
      <c r="AI39" s="147">
        <f t="shared" ref="AI39:AI42" si="56">IF(AH39=3,2*$B$7+U39,0)</f>
        <v>0.64500000000000002</v>
      </c>
      <c r="AJ39" s="149">
        <f>IF(AI39&gt;0,I39*VLOOKUP(T39,'$ alcantarillado'!$I$6:$K$22,3),0)</f>
        <v>1912173.3333333335</v>
      </c>
      <c r="AK39" s="149">
        <f t="shared" si="6"/>
        <v>2164104.0000000042</v>
      </c>
      <c r="AL39" s="149">
        <f t="shared" si="7"/>
        <v>1026032.070000002</v>
      </c>
      <c r="AM39" s="149">
        <f t="shared" si="22"/>
        <v>5102309.4033333398</v>
      </c>
      <c r="AN39" s="142">
        <v>0</v>
      </c>
      <c r="AO39" s="150">
        <f t="shared" si="8"/>
        <v>5102309.4033333398</v>
      </c>
      <c r="AP39" s="218"/>
      <c r="AQ39" s="142"/>
      <c r="AR39" s="165"/>
    </row>
    <row r="40" spans="1:44" x14ac:dyDescent="0.25">
      <c r="A40" s="230"/>
      <c r="B40" s="230"/>
      <c r="C40" s="230"/>
      <c r="D40" s="230"/>
      <c r="E40" s="151">
        <v>3</v>
      </c>
      <c r="F40" s="128">
        <f t="shared" si="24"/>
        <v>47.849999999999994</v>
      </c>
      <c r="G40" s="151">
        <v>4</v>
      </c>
      <c r="H40" s="128">
        <f t="shared" ref="H40:I41" si="57">+H39</f>
        <v>47.625</v>
      </c>
      <c r="I40" s="142">
        <f t="shared" si="57"/>
        <v>80</v>
      </c>
      <c r="J40" s="143">
        <f t="shared" si="9"/>
        <v>2.8124999999999288E-3</v>
      </c>
      <c r="K40" s="142">
        <f t="shared" ref="K40:K41" si="58">+K39</f>
        <v>158</v>
      </c>
      <c r="L40" s="128">
        <f t="shared" si="10"/>
        <v>5.1920402377148429</v>
      </c>
      <c r="M40" s="144">
        <f t="shared" si="11"/>
        <v>5.1920402377148428E-3</v>
      </c>
      <c r="N40" s="144">
        <f t="shared" si="0"/>
        <v>0.11518693207929813</v>
      </c>
      <c r="O40" s="144">
        <f t="shared" si="1"/>
        <v>4.5349185857991392</v>
      </c>
      <c r="P40" s="145">
        <f t="shared" si="12"/>
        <v>6</v>
      </c>
      <c r="Q40" s="113">
        <f>IF(O40&gt;0,VLOOKUP(P40,'$ alcantarillado'!$I$5:$L$22,4,FALSE),"0")</f>
        <v>0.14499999999999999</v>
      </c>
      <c r="R40" s="113">
        <f t="shared" si="2"/>
        <v>9.5920365584233041E-3</v>
      </c>
      <c r="S40" s="146">
        <f t="shared" si="3"/>
        <v>0.54128653556427719</v>
      </c>
      <c r="T40" s="145">
        <f>+IF(S40&gt;$B$13,VLOOKUP(P40,'$ alcantarillado'!$I$6:$N$22,5),P40)</f>
        <v>6</v>
      </c>
      <c r="U40" s="113">
        <f>IF(O40&gt;0,VLOOKUP(T40,'$ alcantarillado'!$I$5:$L$22,4),"0")</f>
        <v>0.14499999999999999</v>
      </c>
      <c r="V40" s="113">
        <f t="shared" si="4"/>
        <v>9.5920365584233041E-3</v>
      </c>
      <c r="W40" s="146">
        <f t="shared" si="5"/>
        <v>0.54128653556427719</v>
      </c>
      <c r="X40" s="146">
        <f t="shared" si="48"/>
        <v>0.58087801477906897</v>
      </c>
      <c r="Y40" s="113">
        <f>IF(T40&gt;0,(VLOOKUP($W40,Relaciones!$A$4:$D$108,2)),"")</f>
        <v>0.87</v>
      </c>
      <c r="Z40" s="146">
        <f t="shared" si="49"/>
        <v>0.50536387285779005</v>
      </c>
      <c r="AA40" s="146">
        <f t="shared" si="50"/>
        <v>0.10195312499999742</v>
      </c>
      <c r="AB40" s="147" t="str">
        <f t="shared" si="51"/>
        <v>OK</v>
      </c>
      <c r="AC40" s="147" t="str">
        <f t="shared" si="52"/>
        <v>OK</v>
      </c>
      <c r="AD40" s="147" t="str">
        <f t="shared" si="53"/>
        <v>No Cumple</v>
      </c>
      <c r="AE40" s="148">
        <f t="shared" si="54"/>
        <v>1</v>
      </c>
      <c r="AF40" s="148">
        <f t="shared" si="54"/>
        <v>1</v>
      </c>
      <c r="AG40" s="148">
        <f t="shared" si="54"/>
        <v>0</v>
      </c>
      <c r="AH40" s="148">
        <f t="shared" si="55"/>
        <v>2</v>
      </c>
      <c r="AI40" s="147">
        <f t="shared" si="56"/>
        <v>0</v>
      </c>
      <c r="AJ40" s="149">
        <f>IF(AI40&gt;0,I40*VLOOKUP(T40,'$ alcantarillado'!$I$6:$K$22,3),0)</f>
        <v>0</v>
      </c>
      <c r="AK40" s="149">
        <f t="shared" si="6"/>
        <v>0</v>
      </c>
      <c r="AL40" s="149">
        <f t="shared" si="7"/>
        <v>0</v>
      </c>
      <c r="AM40" s="149">
        <f t="shared" si="22"/>
        <v>0</v>
      </c>
      <c r="AN40" s="142">
        <v>0</v>
      </c>
      <c r="AO40" s="150" t="str">
        <f t="shared" si="8"/>
        <v/>
      </c>
      <c r="AP40" s="219"/>
      <c r="AQ40" s="142">
        <v>1</v>
      </c>
      <c r="AR40" s="165">
        <v>4</v>
      </c>
    </row>
    <row r="41" spans="1:44" x14ac:dyDescent="0.25">
      <c r="A41" s="230"/>
      <c r="B41" s="230"/>
      <c r="C41" s="230"/>
      <c r="D41" s="230"/>
      <c r="E41" s="151">
        <v>4</v>
      </c>
      <c r="F41" s="128">
        <f t="shared" si="24"/>
        <v>47.724999999999994</v>
      </c>
      <c r="G41" s="151">
        <v>4</v>
      </c>
      <c r="H41" s="128">
        <f t="shared" si="57"/>
        <v>47.625</v>
      </c>
      <c r="I41" s="142">
        <f t="shared" si="57"/>
        <v>80</v>
      </c>
      <c r="J41" s="143">
        <f>+(F41-H41)/I41</f>
        <v>1.2499999999999289E-3</v>
      </c>
      <c r="K41" s="142">
        <f t="shared" si="58"/>
        <v>158</v>
      </c>
      <c r="L41" s="128">
        <f t="shared" si="10"/>
        <v>5.1920402377148429</v>
      </c>
      <c r="M41" s="144">
        <f t="shared" si="11"/>
        <v>5.1920402377148428E-3</v>
      </c>
      <c r="N41" s="144">
        <f t="shared" si="0"/>
        <v>0.13410267267565754</v>
      </c>
      <c r="O41" s="144">
        <f t="shared" si="1"/>
        <v>5.2796327825062024</v>
      </c>
      <c r="P41" s="145">
        <f t="shared" si="12"/>
        <v>6</v>
      </c>
      <c r="Q41" s="113">
        <f>IF(O41&gt;0,VLOOKUP(P41,'$ alcantarillado'!$I$5:$L$22,4,FALSE),"0")</f>
        <v>0.14499999999999999</v>
      </c>
      <c r="R41" s="113">
        <f t="shared" si="2"/>
        <v>6.3946910389487679E-3</v>
      </c>
      <c r="S41" s="146">
        <f t="shared" si="3"/>
        <v>0.81192980334642872</v>
      </c>
      <c r="T41" s="145">
        <f>+IF(S41&gt;$B$13,VLOOKUP(P41,'$ alcantarillado'!$I$6:$N$22,5),P41)</f>
        <v>6</v>
      </c>
      <c r="U41" s="113">
        <f>IF(O41&gt;0,VLOOKUP(T41,'$ alcantarillado'!$I$5:$L$22,4),"0")</f>
        <v>0.14499999999999999</v>
      </c>
      <c r="V41" s="113">
        <f t="shared" si="4"/>
        <v>6.3946910389487679E-3</v>
      </c>
      <c r="W41" s="146">
        <f t="shared" si="5"/>
        <v>0.81192980334642872</v>
      </c>
      <c r="X41" s="146">
        <f t="shared" si="48"/>
        <v>0.38725200985270652</v>
      </c>
      <c r="Y41" s="113">
        <f>IF(T41&gt;0,(VLOOKUP($W41,Relaciones!$A$4:$D$108,2)),"")</f>
        <v>0.98699999999999999</v>
      </c>
      <c r="Z41" s="146">
        <f t="shared" si="49"/>
        <v>0.38221773372462131</v>
      </c>
      <c r="AA41" s="146">
        <f t="shared" si="50"/>
        <v>4.5312499999997424E-2</v>
      </c>
      <c r="AB41" s="147" t="str">
        <f t="shared" si="51"/>
        <v>OK</v>
      </c>
      <c r="AC41" s="147" t="str">
        <f t="shared" si="52"/>
        <v>No Cumple</v>
      </c>
      <c r="AD41" s="147" t="str">
        <f t="shared" si="53"/>
        <v>No Cumple</v>
      </c>
      <c r="AE41" s="148">
        <f t="shared" si="54"/>
        <v>1</v>
      </c>
      <c r="AF41" s="148">
        <f t="shared" si="54"/>
        <v>0</v>
      </c>
      <c r="AG41" s="148">
        <f t="shared" si="54"/>
        <v>0</v>
      </c>
      <c r="AH41" s="148">
        <f t="shared" si="55"/>
        <v>1</v>
      </c>
      <c r="AI41" s="147">
        <f t="shared" si="56"/>
        <v>0</v>
      </c>
      <c r="AJ41" s="149">
        <f>IF(AI41&gt;0,I41*VLOOKUP(T41,'$ alcantarillado'!$I$6:$K$22,3),0)</f>
        <v>0</v>
      </c>
      <c r="AK41" s="149">
        <f t="shared" si="6"/>
        <v>0</v>
      </c>
      <c r="AL41" s="149">
        <f t="shared" si="7"/>
        <v>0</v>
      </c>
      <c r="AM41" s="149">
        <f t="shared" si="22"/>
        <v>0</v>
      </c>
      <c r="AN41" s="142">
        <v>0</v>
      </c>
      <c r="AO41" s="150" t="str">
        <f t="shared" si="8"/>
        <v/>
      </c>
      <c r="AP41" s="219"/>
      <c r="AQ41" s="142"/>
      <c r="AR41" s="165"/>
    </row>
    <row r="42" spans="1:44" ht="15.75" thickBot="1" x14ac:dyDescent="0.3">
      <c r="A42" s="230"/>
      <c r="B42" s="230"/>
      <c r="C42" s="230"/>
      <c r="D42" s="230"/>
      <c r="E42" s="152">
        <v>5</v>
      </c>
      <c r="F42" s="153">
        <f t="shared" si="24"/>
        <v>47.599999999999994</v>
      </c>
      <c r="G42" s="152">
        <v>4</v>
      </c>
      <c r="H42" s="153">
        <f>+H41</f>
        <v>47.625</v>
      </c>
      <c r="I42" s="154">
        <f>+I41</f>
        <v>80</v>
      </c>
      <c r="J42" s="155">
        <f t="shared" si="9"/>
        <v>-3.1250000000007108E-4</v>
      </c>
      <c r="K42" s="154">
        <f>+K41</f>
        <v>158</v>
      </c>
      <c r="L42" s="153">
        <f t="shared" si="10"/>
        <v>5.1920402377148429</v>
      </c>
      <c r="M42" s="156">
        <f t="shared" si="11"/>
        <v>5.1920402377148428E-3</v>
      </c>
      <c r="N42" s="156">
        <f t="shared" si="0"/>
        <v>0</v>
      </c>
      <c r="O42" s="156">
        <f t="shared" si="1"/>
        <v>0</v>
      </c>
      <c r="P42" s="157">
        <f t="shared" si="12"/>
        <v>0</v>
      </c>
      <c r="Q42" s="113" t="str">
        <f>IF(O42&gt;0,VLOOKUP(P42,'$ alcantarillado'!$I$5:$L$22,4,FALSE),"0")</f>
        <v>0</v>
      </c>
      <c r="R42" s="160" t="str">
        <f t="shared" si="2"/>
        <v/>
      </c>
      <c r="S42" s="146">
        <f t="shared" si="3"/>
        <v>0</v>
      </c>
      <c r="T42" s="145">
        <f>+IF(S42&gt;$B$13,VLOOKUP(P42,'$ alcantarillado'!$I$6:$N$22,5),P42)</f>
        <v>0</v>
      </c>
      <c r="U42" s="113" t="str">
        <f>IF(O42&gt;0,VLOOKUP(T42,'$ alcantarillado'!$I$5:$L$22,4),"0")</f>
        <v>0</v>
      </c>
      <c r="V42" s="113" t="str">
        <f t="shared" si="4"/>
        <v/>
      </c>
      <c r="W42" s="146">
        <f t="shared" si="5"/>
        <v>0</v>
      </c>
      <c r="X42" s="146" t="str">
        <f t="shared" si="48"/>
        <v/>
      </c>
      <c r="Y42" s="113" t="str">
        <f>IF(T42&gt;0,(VLOOKUP($W42,Relaciones!$A$4:$D$108,2)),"")</f>
        <v/>
      </c>
      <c r="Z42" s="146" t="str">
        <f t="shared" si="49"/>
        <v/>
      </c>
      <c r="AA42" s="146" t="str">
        <f t="shared" si="50"/>
        <v/>
      </c>
      <c r="AB42" s="147" t="str">
        <f t="shared" si="51"/>
        <v/>
      </c>
      <c r="AC42" s="147" t="str">
        <f t="shared" si="52"/>
        <v/>
      </c>
      <c r="AD42" s="147" t="str">
        <f t="shared" si="53"/>
        <v/>
      </c>
      <c r="AE42" s="148">
        <f t="shared" si="54"/>
        <v>0</v>
      </c>
      <c r="AF42" s="148">
        <f t="shared" si="54"/>
        <v>0</v>
      </c>
      <c r="AG42" s="148">
        <f t="shared" si="54"/>
        <v>0</v>
      </c>
      <c r="AH42" s="148">
        <f t="shared" si="55"/>
        <v>0</v>
      </c>
      <c r="AI42" s="147">
        <f t="shared" si="56"/>
        <v>0</v>
      </c>
      <c r="AJ42" s="158">
        <f>IF(AI42&gt;0,I42*VLOOKUP(T42,'$ alcantarillado'!$I$6:$K$22,3),0)</f>
        <v>0</v>
      </c>
      <c r="AK42" s="158">
        <f t="shared" si="6"/>
        <v>0</v>
      </c>
      <c r="AL42" s="158">
        <f t="shared" si="7"/>
        <v>0</v>
      </c>
      <c r="AM42" s="158">
        <f t="shared" si="22"/>
        <v>0</v>
      </c>
      <c r="AN42" s="154">
        <v>0</v>
      </c>
      <c r="AO42" s="159" t="str">
        <f t="shared" si="8"/>
        <v/>
      </c>
      <c r="AP42" s="220"/>
      <c r="AQ42" s="154"/>
      <c r="AR42" s="166"/>
    </row>
    <row r="43" spans="1:44" x14ac:dyDescent="0.25">
      <c r="A43" s="230"/>
      <c r="B43" s="230"/>
      <c r="C43" s="230"/>
      <c r="D43" s="230"/>
      <c r="E43" s="127">
        <v>1</v>
      </c>
      <c r="F43" s="132">
        <f t="shared" si="24"/>
        <v>48.099999999999994</v>
      </c>
      <c r="G43" s="127">
        <v>5</v>
      </c>
      <c r="H43" s="132">
        <f>+H33-2*$B$15</f>
        <v>47.5</v>
      </c>
      <c r="I43" s="142">
        <f>+I38</f>
        <v>80</v>
      </c>
      <c r="J43" s="143">
        <f>+(F43-H43)/I43</f>
        <v>7.4999999999999286E-3</v>
      </c>
      <c r="K43" s="142">
        <f>+K38</f>
        <v>158</v>
      </c>
      <c r="L43" s="132">
        <f>IF(K43&lt;38,K43^0.3686*0.7401,IF(K43&lt;235,K43^0.4193*0.6215,IF(K43&lt;932,K43*0.0092+4.2493,K43*0.0069+6.7345)))</f>
        <v>5.1920402377148429</v>
      </c>
      <c r="M43" s="133">
        <f>+L43/1000</f>
        <v>5.1920402377148428E-3</v>
      </c>
      <c r="N43" s="133">
        <f t="shared" si="0"/>
        <v>9.58371905595157E-2</v>
      </c>
      <c r="O43" s="133">
        <f t="shared" si="1"/>
        <v>3.7731177385636103</v>
      </c>
      <c r="P43" s="134">
        <f t="shared" si="12"/>
        <v>6</v>
      </c>
      <c r="Q43" s="135">
        <f>IF(O43&gt;0,VLOOKUP(P43,'$ alcantarillado'!$I$5:$L$22,4,FALSE),"0")</f>
        <v>0.14499999999999999</v>
      </c>
      <c r="R43" s="135">
        <f t="shared" si="2"/>
        <v>1.5663730108172885E-2</v>
      </c>
      <c r="S43" s="136">
        <f t="shared" si="3"/>
        <v>0.33146895419283212</v>
      </c>
      <c r="T43" s="134">
        <f>+IF(S43&gt;$B$13,VLOOKUP(P43,'$ alcantarillado'!$I$6:$N$22,5),P43)</f>
        <v>6</v>
      </c>
      <c r="U43" s="135">
        <f>IF(O43&gt;0,VLOOKUP(T43,'$ alcantarillado'!$I$5:$L$22,4),"0")</f>
        <v>0.14499999999999999</v>
      </c>
      <c r="V43" s="135">
        <f t="shared" si="4"/>
        <v>1.5663730108172885E-2</v>
      </c>
      <c r="W43" s="136">
        <f t="shared" si="5"/>
        <v>0.33146895419283212</v>
      </c>
      <c r="X43" s="136">
        <f>IF(T43&gt;0,4*V43/(PI()*(U43)^2),"")</f>
        <v>0.9485698260063975</v>
      </c>
      <c r="Y43" s="135">
        <f>IF(T43&gt;0,(VLOOKUP($W43,Relaciones!$A$4:$D$108,2)),"")</f>
        <v>0.75</v>
      </c>
      <c r="Z43" s="136">
        <f>IF(T43&gt;0,Y43*X43,"")</f>
        <v>0.71142736950479812</v>
      </c>
      <c r="AA43" s="136">
        <f>IF(T43&gt;0,250*U43*J43,"")</f>
        <v>0.27187499999999742</v>
      </c>
      <c r="AB43" s="137" t="str">
        <f>IF(T43&gt;0,IF(W43&lt;=$B$13,"OK","No Cumple"),"")</f>
        <v>OK</v>
      </c>
      <c r="AC43" s="137" t="str">
        <f>IF(T43&gt;0,IF(Z43&gt;=$B$12,"OK","No Cumple"),"")</f>
        <v>OK</v>
      </c>
      <c r="AD43" s="137" t="str">
        <f>IF(T43&gt;0,IF(AA43&gt;$B$14,"OK","No Cumple"),"")</f>
        <v>OK</v>
      </c>
      <c r="AE43" s="138">
        <f>+IF(AB43="OK",1,0)</f>
        <v>1</v>
      </c>
      <c r="AF43" s="138">
        <f>+IF(AC43="OK",1,0)</f>
        <v>1</v>
      </c>
      <c r="AG43" s="138">
        <f>+IF(AD43="OK",1,0)</f>
        <v>1</v>
      </c>
      <c r="AH43" s="138">
        <f>SUM(AE43:AG43)</f>
        <v>3</v>
      </c>
      <c r="AI43" s="137">
        <f>IF(AH43=3,2*$B$7+U43,0)</f>
        <v>0.64500000000000002</v>
      </c>
      <c r="AJ43" s="139">
        <f>IF(AI43&gt;0,I43*VLOOKUP(T43,'$ alcantarillado'!$I$6:$K$22,3),0)</f>
        <v>1912173.3333333335</v>
      </c>
      <c r="AK43" s="139">
        <f t="shared" si="6"/>
        <v>2106054.0000000042</v>
      </c>
      <c r="AL43" s="139">
        <f t="shared" si="7"/>
        <v>938784.44500000204</v>
      </c>
      <c r="AM43" s="139">
        <f>IF(AJ43&gt;0,AJ43+AK43+AL43,0)</f>
        <v>4957011.7783333398</v>
      </c>
      <c r="AN43" s="129">
        <v>0</v>
      </c>
      <c r="AO43" s="140">
        <f t="shared" si="8"/>
        <v>4957011.7783333398</v>
      </c>
      <c r="AP43" s="232">
        <f>+MIN(AO43:AO47)</f>
        <v>4957011.7783333398</v>
      </c>
      <c r="AQ43" s="142"/>
      <c r="AR43" s="165"/>
    </row>
    <row r="44" spans="1:44" x14ac:dyDescent="0.25">
      <c r="A44" s="230"/>
      <c r="B44" s="230"/>
      <c r="C44" s="230"/>
      <c r="D44" s="230"/>
      <c r="E44" s="141">
        <v>2</v>
      </c>
      <c r="F44" s="128">
        <f t="shared" si="24"/>
        <v>47.974999999999994</v>
      </c>
      <c r="G44" s="141">
        <v>5</v>
      </c>
      <c r="H44" s="128">
        <f>+H43</f>
        <v>47.5</v>
      </c>
      <c r="I44" s="142">
        <f>+I43</f>
        <v>80</v>
      </c>
      <c r="J44" s="143">
        <f t="shared" si="9"/>
        <v>5.9374999999999289E-3</v>
      </c>
      <c r="K44" s="142">
        <f>+K43</f>
        <v>158</v>
      </c>
      <c r="L44" s="128">
        <f t="shared" si="10"/>
        <v>5.1920402377148429</v>
      </c>
      <c r="M44" s="144">
        <f t="shared" si="11"/>
        <v>5.1920402377148428E-3</v>
      </c>
      <c r="N44" s="144">
        <f t="shared" si="0"/>
        <v>0.10012842426186469</v>
      </c>
      <c r="O44" s="144">
        <f t="shared" si="1"/>
        <v>3.9420639473175076</v>
      </c>
      <c r="P44" s="145">
        <f t="shared" si="12"/>
        <v>6</v>
      </c>
      <c r="Q44" s="113">
        <f>IF(O44&gt;0,VLOOKUP(P44,'$ alcantarillado'!$I$5:$L$22,4,FALSE),"0")</f>
        <v>0.14499999999999999</v>
      </c>
      <c r="R44" s="113">
        <f t="shared" si="2"/>
        <v>1.3936906006971714E-2</v>
      </c>
      <c r="S44" s="146">
        <f t="shared" si="3"/>
        <v>0.37253894337219523</v>
      </c>
      <c r="T44" s="145">
        <f>+IF(S44&gt;$B$13,VLOOKUP(P44,'$ alcantarillado'!$I$6:$N$22,5),P44)</f>
        <v>6</v>
      </c>
      <c r="U44" s="113">
        <f>IF(O44&gt;0,VLOOKUP(T44,'$ alcantarillado'!$I$5:$L$22,4),"0")</f>
        <v>0.14499999999999999</v>
      </c>
      <c r="V44" s="113">
        <f t="shared" si="4"/>
        <v>1.3936906006971714E-2</v>
      </c>
      <c r="W44" s="146">
        <f t="shared" si="5"/>
        <v>0.37253894337219523</v>
      </c>
      <c r="X44" s="146">
        <f t="shared" ref="X44:X47" si="59">IF(T44&gt;0,4*V44/(PI()*(U44)^2),"")</f>
        <v>0.84399618831550161</v>
      </c>
      <c r="Y44" s="113">
        <f>IF(T44&gt;0,(VLOOKUP($W44,Relaciones!$A$4:$D$108,2)),"")</f>
        <v>0.77600000000000002</v>
      </c>
      <c r="Z44" s="146">
        <f t="shared" ref="Z44:Z47" si="60">IF(T44&gt;0,Y44*X44,"")</f>
        <v>0.65494104213282922</v>
      </c>
      <c r="AA44" s="146">
        <f t="shared" ref="AA44:AA47" si="61">IF(T44&gt;0,250*U44*J44,"")</f>
        <v>0.21523437499999742</v>
      </c>
      <c r="AB44" s="147" t="str">
        <f t="shared" ref="AB44:AB47" si="62">IF(T44&gt;0,IF(W44&lt;=$B$13,"OK","No Cumple"),"")</f>
        <v>OK</v>
      </c>
      <c r="AC44" s="147" t="str">
        <f t="shared" ref="AC44:AC47" si="63">IF(T44&gt;0,IF(Z44&gt;=$B$12,"OK","No Cumple"),"")</f>
        <v>OK</v>
      </c>
      <c r="AD44" s="147" t="str">
        <f t="shared" ref="AD44:AD47" si="64">IF(T44&gt;0,IF(AA44&gt;$B$14,"OK","No Cumple"),"")</f>
        <v>OK</v>
      </c>
      <c r="AE44" s="148">
        <f t="shared" ref="AE44:AG47" si="65">+IF(AB44="OK",1,0)</f>
        <v>1</v>
      </c>
      <c r="AF44" s="148">
        <f t="shared" si="65"/>
        <v>1</v>
      </c>
      <c r="AG44" s="148">
        <f t="shared" si="65"/>
        <v>1</v>
      </c>
      <c r="AH44" s="148">
        <f t="shared" ref="AH44:AH47" si="66">SUM(AE44:AG44)</f>
        <v>3</v>
      </c>
      <c r="AI44" s="147">
        <f t="shared" ref="AI44:AI47" si="67">IF(AH44=3,2*$B$7+U44,0)</f>
        <v>0.64500000000000002</v>
      </c>
      <c r="AJ44" s="149">
        <f>IF(AI44&gt;0,I44*VLOOKUP(T44,'$ alcantarillado'!$I$6:$K$22,3),0)</f>
        <v>1912173.3333333335</v>
      </c>
      <c r="AK44" s="149">
        <f t="shared" si="6"/>
        <v>2222154.0000000042</v>
      </c>
      <c r="AL44" s="149">
        <f t="shared" si="7"/>
        <v>1026032.070000002</v>
      </c>
      <c r="AM44" s="149">
        <f t="shared" si="22"/>
        <v>5160359.4033333398</v>
      </c>
      <c r="AN44" s="142">
        <v>0</v>
      </c>
      <c r="AO44" s="150">
        <f t="shared" si="8"/>
        <v>5160359.4033333398</v>
      </c>
      <c r="AP44" s="218"/>
      <c r="AQ44" s="142"/>
      <c r="AR44" s="165"/>
    </row>
    <row r="45" spans="1:44" x14ac:dyDescent="0.25">
      <c r="A45" s="230"/>
      <c r="B45" s="230"/>
      <c r="C45" s="230"/>
      <c r="D45" s="230"/>
      <c r="E45" s="151">
        <v>3</v>
      </c>
      <c r="F45" s="128">
        <f t="shared" si="24"/>
        <v>47.849999999999994</v>
      </c>
      <c r="G45" s="151">
        <v>5</v>
      </c>
      <c r="H45" s="128">
        <f t="shared" ref="H45:I46" si="68">+H44</f>
        <v>47.5</v>
      </c>
      <c r="I45" s="142">
        <f t="shared" si="68"/>
        <v>80</v>
      </c>
      <c r="J45" s="143">
        <f t="shared" si="9"/>
        <v>4.3749999999999293E-3</v>
      </c>
      <c r="K45" s="142">
        <f t="shared" ref="K45:K46" si="69">+K44</f>
        <v>158</v>
      </c>
      <c r="L45" s="128">
        <f t="shared" si="10"/>
        <v>5.1920402377148429</v>
      </c>
      <c r="M45" s="144">
        <f t="shared" si="11"/>
        <v>5.1920402377148428E-3</v>
      </c>
      <c r="N45" s="144">
        <f t="shared" si="0"/>
        <v>0.10602900237114536</v>
      </c>
      <c r="O45" s="144">
        <f t="shared" si="1"/>
        <v>4.1743701720923374</v>
      </c>
      <c r="P45" s="145">
        <f t="shared" si="12"/>
        <v>6</v>
      </c>
      <c r="Q45" s="113">
        <f>IF(O45&gt;0,VLOOKUP(P45,'$ alcantarillado'!$I$5:$L$22,4,FALSE),"0")</f>
        <v>0.14499999999999999</v>
      </c>
      <c r="R45" s="113">
        <f t="shared" si="2"/>
        <v>1.1963371481010138E-2</v>
      </c>
      <c r="S45" s="146">
        <f t="shared" si="3"/>
        <v>0.43399473517614517</v>
      </c>
      <c r="T45" s="145">
        <f>+IF(S45&gt;$B$13,VLOOKUP(P45,'$ alcantarillado'!$I$6:$N$22,5),P45)</f>
        <v>6</v>
      </c>
      <c r="U45" s="113">
        <f>IF(O45&gt;0,VLOOKUP(T45,'$ alcantarillado'!$I$5:$L$22,4),"0")</f>
        <v>0.14499999999999999</v>
      </c>
      <c r="V45" s="113">
        <f t="shared" si="4"/>
        <v>1.1963371481010138E-2</v>
      </c>
      <c r="W45" s="146">
        <f t="shared" si="5"/>
        <v>0.43399473517614517</v>
      </c>
      <c r="X45" s="146">
        <f t="shared" si="59"/>
        <v>0.72448217160423212</v>
      </c>
      <c r="Y45" s="113">
        <f>IF(T45&gt;0,(VLOOKUP($W45,Relaciones!$A$4:$D$108,2)),"")</f>
        <v>0.81</v>
      </c>
      <c r="Z45" s="146">
        <f t="shared" si="60"/>
        <v>0.58683055899942804</v>
      </c>
      <c r="AA45" s="146">
        <f t="shared" si="61"/>
        <v>0.15859374999999742</v>
      </c>
      <c r="AB45" s="147" t="str">
        <f t="shared" si="62"/>
        <v>OK</v>
      </c>
      <c r="AC45" s="147" t="str">
        <f t="shared" si="63"/>
        <v>OK</v>
      </c>
      <c r="AD45" s="147" t="str">
        <f t="shared" si="64"/>
        <v>OK</v>
      </c>
      <c r="AE45" s="148">
        <f t="shared" si="65"/>
        <v>1</v>
      </c>
      <c r="AF45" s="148">
        <f t="shared" si="65"/>
        <v>1</v>
      </c>
      <c r="AG45" s="148">
        <f t="shared" si="65"/>
        <v>1</v>
      </c>
      <c r="AH45" s="148">
        <f t="shared" si="66"/>
        <v>3</v>
      </c>
      <c r="AI45" s="147">
        <f t="shared" si="67"/>
        <v>0.64500000000000002</v>
      </c>
      <c r="AJ45" s="149">
        <f>IF(AI45&gt;0,I45*VLOOKUP(T45,'$ alcantarillado'!$I$6:$K$22,3),0)</f>
        <v>1912173.3333333335</v>
      </c>
      <c r="AK45" s="149">
        <f t="shared" si="6"/>
        <v>2338254.0000000047</v>
      </c>
      <c r="AL45" s="149">
        <f t="shared" si="7"/>
        <v>1113279.6950000019</v>
      </c>
      <c r="AM45" s="149">
        <f t="shared" si="22"/>
        <v>5363707.0283333398</v>
      </c>
      <c r="AN45" s="142">
        <v>0</v>
      </c>
      <c r="AO45" s="150">
        <f t="shared" si="8"/>
        <v>5363707.0283333398</v>
      </c>
      <c r="AP45" s="219"/>
      <c r="AQ45" s="142">
        <v>1</v>
      </c>
      <c r="AR45" s="165">
        <v>5</v>
      </c>
    </row>
    <row r="46" spans="1:44" x14ac:dyDescent="0.25">
      <c r="A46" s="230"/>
      <c r="B46" s="230"/>
      <c r="C46" s="230"/>
      <c r="D46" s="230"/>
      <c r="E46" s="151">
        <v>4</v>
      </c>
      <c r="F46" s="128">
        <f t="shared" si="24"/>
        <v>47.724999999999994</v>
      </c>
      <c r="G46" s="151">
        <v>5</v>
      </c>
      <c r="H46" s="128">
        <f t="shared" si="68"/>
        <v>47.5</v>
      </c>
      <c r="I46" s="142">
        <f t="shared" si="68"/>
        <v>80</v>
      </c>
      <c r="J46" s="143">
        <f>+(F46-H46)/I46</f>
        <v>2.8124999999999288E-3</v>
      </c>
      <c r="K46" s="142">
        <f t="shared" si="69"/>
        <v>158</v>
      </c>
      <c r="L46" s="128">
        <f t="shared" si="10"/>
        <v>5.1920402377148429</v>
      </c>
      <c r="M46" s="144">
        <f t="shared" si="11"/>
        <v>5.1920402377148428E-3</v>
      </c>
      <c r="N46" s="144">
        <f t="shared" si="0"/>
        <v>0.11518693207929813</v>
      </c>
      <c r="O46" s="144">
        <f t="shared" si="1"/>
        <v>4.5349185857991392</v>
      </c>
      <c r="P46" s="145">
        <f t="shared" si="12"/>
        <v>6</v>
      </c>
      <c r="Q46" s="113">
        <f>IF(O46&gt;0,VLOOKUP(P46,'$ alcantarillado'!$I$5:$L$22,4,FALSE),"0")</f>
        <v>0.14499999999999999</v>
      </c>
      <c r="R46" s="113">
        <f t="shared" si="2"/>
        <v>9.5920365584233041E-3</v>
      </c>
      <c r="S46" s="146">
        <f t="shared" si="3"/>
        <v>0.54128653556427719</v>
      </c>
      <c r="T46" s="145">
        <f>+IF(S46&gt;$B$13,VLOOKUP(P46,'$ alcantarillado'!$I$6:$N$22,5),P46)</f>
        <v>6</v>
      </c>
      <c r="U46" s="113">
        <f>IF(O46&gt;0,VLOOKUP(T46,'$ alcantarillado'!$I$5:$L$22,4),"0")</f>
        <v>0.14499999999999999</v>
      </c>
      <c r="V46" s="113">
        <f t="shared" si="4"/>
        <v>9.5920365584233041E-3</v>
      </c>
      <c r="W46" s="146">
        <f t="shared" si="5"/>
        <v>0.54128653556427719</v>
      </c>
      <c r="X46" s="146">
        <f t="shared" si="59"/>
        <v>0.58087801477906897</v>
      </c>
      <c r="Y46" s="113">
        <f>IF(T46&gt;0,(VLOOKUP($W46,Relaciones!$A$4:$D$108,2)),"")</f>
        <v>0.87</v>
      </c>
      <c r="Z46" s="146">
        <f t="shared" si="60"/>
        <v>0.50536387285779005</v>
      </c>
      <c r="AA46" s="146">
        <f t="shared" si="61"/>
        <v>0.10195312499999742</v>
      </c>
      <c r="AB46" s="147" t="str">
        <f t="shared" si="62"/>
        <v>OK</v>
      </c>
      <c r="AC46" s="147" t="str">
        <f t="shared" si="63"/>
        <v>OK</v>
      </c>
      <c r="AD46" s="147" t="str">
        <f t="shared" si="64"/>
        <v>No Cumple</v>
      </c>
      <c r="AE46" s="148">
        <f t="shared" si="65"/>
        <v>1</v>
      </c>
      <c r="AF46" s="148">
        <f t="shared" si="65"/>
        <v>1</v>
      </c>
      <c r="AG46" s="148">
        <f t="shared" si="65"/>
        <v>0</v>
      </c>
      <c r="AH46" s="148">
        <f t="shared" si="66"/>
        <v>2</v>
      </c>
      <c r="AI46" s="147">
        <f t="shared" si="67"/>
        <v>0</v>
      </c>
      <c r="AJ46" s="149">
        <f>IF(AI46&gt;0,I46*VLOOKUP(T46,'$ alcantarillado'!$I$6:$K$22,3),0)</f>
        <v>0</v>
      </c>
      <c r="AK46" s="149">
        <f t="shared" si="6"/>
        <v>0</v>
      </c>
      <c r="AL46" s="149">
        <f t="shared" si="7"/>
        <v>0</v>
      </c>
      <c r="AM46" s="149">
        <f t="shared" si="22"/>
        <v>0</v>
      </c>
      <c r="AN46" s="142">
        <v>0</v>
      </c>
      <c r="AO46" s="150" t="str">
        <f t="shared" si="8"/>
        <v/>
      </c>
      <c r="AP46" s="219"/>
      <c r="AQ46" s="142"/>
      <c r="AR46" s="165"/>
    </row>
    <row r="47" spans="1:44" ht="15.75" thickBot="1" x14ac:dyDescent="0.3">
      <c r="A47" s="231"/>
      <c r="B47" s="231"/>
      <c r="C47" s="231"/>
      <c r="D47" s="231"/>
      <c r="E47" s="152">
        <v>5</v>
      </c>
      <c r="F47" s="153">
        <f t="shared" si="24"/>
        <v>47.599999999999994</v>
      </c>
      <c r="G47" s="152">
        <v>5</v>
      </c>
      <c r="H47" s="153">
        <f>+H46</f>
        <v>47.5</v>
      </c>
      <c r="I47" s="154">
        <f>+I46</f>
        <v>80</v>
      </c>
      <c r="J47" s="155">
        <f t="shared" si="9"/>
        <v>1.2499999999999289E-3</v>
      </c>
      <c r="K47" s="154">
        <f>+K46</f>
        <v>158</v>
      </c>
      <c r="L47" s="153">
        <f t="shared" si="10"/>
        <v>5.1920402377148429</v>
      </c>
      <c r="M47" s="156">
        <f t="shared" si="11"/>
        <v>5.1920402377148428E-3</v>
      </c>
      <c r="N47" s="156">
        <f t="shared" si="0"/>
        <v>0.13410267267565754</v>
      </c>
      <c r="O47" s="156">
        <f t="shared" si="1"/>
        <v>5.2796327825062024</v>
      </c>
      <c r="P47" s="157">
        <f t="shared" si="12"/>
        <v>6</v>
      </c>
      <c r="Q47" s="113">
        <f>IF(O47&gt;0,VLOOKUP(P47,'$ alcantarillado'!$I$5:$L$22,4,FALSE),"0")</f>
        <v>0.14499999999999999</v>
      </c>
      <c r="R47" s="160">
        <f t="shared" si="2"/>
        <v>6.3946910389487679E-3</v>
      </c>
      <c r="S47" s="146">
        <f t="shared" si="3"/>
        <v>0.81192980334642872</v>
      </c>
      <c r="T47" s="145">
        <f>+IF(S47&gt;$B$13,VLOOKUP(P47,'$ alcantarillado'!$I$6:$N$22,5),P47)</f>
        <v>6</v>
      </c>
      <c r="U47" s="113">
        <f>IF(O47&gt;0,VLOOKUP(T47,'$ alcantarillado'!$I$5:$L$22,4),"0")</f>
        <v>0.14499999999999999</v>
      </c>
      <c r="V47" s="113">
        <f t="shared" si="4"/>
        <v>6.3946910389487679E-3</v>
      </c>
      <c r="W47" s="146">
        <f t="shared" si="5"/>
        <v>0.81192980334642872</v>
      </c>
      <c r="X47" s="146">
        <f t="shared" si="59"/>
        <v>0.38725200985270652</v>
      </c>
      <c r="Y47" s="113">
        <f>IF(T47&gt;0,(VLOOKUP($W47,Relaciones!$A$4:$D$108,2)),"")</f>
        <v>0.98699999999999999</v>
      </c>
      <c r="Z47" s="146">
        <f t="shared" si="60"/>
        <v>0.38221773372462131</v>
      </c>
      <c r="AA47" s="146">
        <f t="shared" si="61"/>
        <v>4.5312499999997424E-2</v>
      </c>
      <c r="AB47" s="147" t="str">
        <f t="shared" si="62"/>
        <v>OK</v>
      </c>
      <c r="AC47" s="147" t="str">
        <f t="shared" si="63"/>
        <v>No Cumple</v>
      </c>
      <c r="AD47" s="147" t="str">
        <f t="shared" si="64"/>
        <v>No Cumple</v>
      </c>
      <c r="AE47" s="148">
        <f t="shared" si="65"/>
        <v>1</v>
      </c>
      <c r="AF47" s="148">
        <f t="shared" si="65"/>
        <v>0</v>
      </c>
      <c r="AG47" s="148">
        <f t="shared" si="65"/>
        <v>0</v>
      </c>
      <c r="AH47" s="148">
        <f t="shared" si="66"/>
        <v>1</v>
      </c>
      <c r="AI47" s="147">
        <f t="shared" si="67"/>
        <v>0</v>
      </c>
      <c r="AJ47" s="158">
        <f>IF(AI47&gt;0,I47*VLOOKUP(T47,'$ alcantarillado'!$I$6:$K$22,3),0)</f>
        <v>0</v>
      </c>
      <c r="AK47" s="158">
        <f t="shared" si="6"/>
        <v>0</v>
      </c>
      <c r="AL47" s="158">
        <f t="shared" si="7"/>
        <v>0</v>
      </c>
      <c r="AM47" s="158">
        <f t="shared" si="22"/>
        <v>0</v>
      </c>
      <c r="AN47" s="154">
        <v>0</v>
      </c>
      <c r="AO47" s="159" t="str">
        <f t="shared" si="8"/>
        <v/>
      </c>
      <c r="AP47" s="220"/>
      <c r="AQ47" s="142"/>
      <c r="AR47" s="165"/>
    </row>
    <row r="48" spans="1:44" x14ac:dyDescent="0.25">
      <c r="A48" s="210">
        <v>2</v>
      </c>
      <c r="B48" s="210">
        <v>2</v>
      </c>
      <c r="C48" s="210">
        <v>5</v>
      </c>
      <c r="D48" s="210">
        <v>49.2</v>
      </c>
      <c r="E48" s="4">
        <v>1</v>
      </c>
      <c r="F48" s="7">
        <f>+H23</f>
        <v>48</v>
      </c>
      <c r="G48" s="4">
        <v>1</v>
      </c>
      <c r="H48" s="64">
        <f>+H58+2*$B$15</f>
        <v>47.265000000000001</v>
      </c>
      <c r="I48" s="7">
        <v>80</v>
      </c>
      <c r="J48" s="17">
        <f>+(F48-H48)/I48</f>
        <v>9.1874999999999925E-3</v>
      </c>
      <c r="K48" s="7">
        <f>+K23</f>
        <v>158</v>
      </c>
      <c r="L48" s="14">
        <f>IF(K48&lt;38,K48^0.3686*0.7401,IF(K48&lt;235,K48^0.4193*0.6215,IF(K48&lt;932,K48*0.0092+4.2493,K48*0.0069+6.7345)))</f>
        <v>5.1920402377148429</v>
      </c>
      <c r="M48" s="31">
        <f>+L48/1000</f>
        <v>5.1920402377148428E-3</v>
      </c>
      <c r="N48" s="31">
        <f t="shared" si="0"/>
        <v>9.2258960576735272E-2</v>
      </c>
      <c r="O48" s="31">
        <f t="shared" si="1"/>
        <v>3.6322425423911526</v>
      </c>
      <c r="P48" s="57">
        <f t="shared" si="12"/>
        <v>6</v>
      </c>
      <c r="Q48" s="60">
        <f>IF(O48&gt;0,VLOOKUP(P48,'$ alcantarillado'!$I$5:$L$22,4,FALSE),"0")</f>
        <v>0.14499999999999999</v>
      </c>
      <c r="R48" s="60">
        <f t="shared" si="2"/>
        <v>1.7336572328593754E-2</v>
      </c>
      <c r="S48" s="27">
        <f t="shared" si="3"/>
        <v>0.29948481968096125</v>
      </c>
      <c r="T48" s="57">
        <f>+IF(S48&gt;$B$13,VLOOKUP(P48,'$ alcantarillado'!$I$6:$N$22,5),P48)</f>
        <v>6</v>
      </c>
      <c r="U48" s="60">
        <f>IF(O48&gt;0,VLOOKUP(T48,'$ alcantarillado'!$I$5:$L$22,4),"0")</f>
        <v>0.14499999999999999</v>
      </c>
      <c r="V48" s="60">
        <f t="shared" si="4"/>
        <v>1.7336572328593754E-2</v>
      </c>
      <c r="W48" s="27">
        <f t="shared" si="5"/>
        <v>0.29948481968096125</v>
      </c>
      <c r="X48" s="27">
        <f>IF(T48&gt;0,4*V48/(PI()*(U48)^2),"")</f>
        <v>1.0498744094614476</v>
      </c>
      <c r="Y48" s="60">
        <f>IF(T48&gt;0,(VLOOKUP($W48,Relaciones!$A$4:$D$108,2)),"")</f>
        <v>0.72</v>
      </c>
      <c r="Z48" s="27">
        <f>IF(T48&gt;0,Y48*X48,"")</f>
        <v>0.7559095748122423</v>
      </c>
      <c r="AA48" s="27">
        <f>IF(T48&gt;0,250*U48*J48,"")</f>
        <v>0.33304687499999974</v>
      </c>
      <c r="AB48" s="45" t="str">
        <f>IF(T48&gt;0,IF(W48&lt;=$B$13,"OK","No Cumple"),"")</f>
        <v>OK</v>
      </c>
      <c r="AC48" s="45" t="str">
        <f>IF(T48&gt;0,IF(Z48&gt;=$B$12,"OK","No Cumple"),"")</f>
        <v>OK</v>
      </c>
      <c r="AD48" s="45" t="str">
        <f>IF(T48&gt;0,IF(AA48&gt;$B$14,"OK","No Cumple"),"")</f>
        <v>OK</v>
      </c>
      <c r="AE48" s="32">
        <f>+IF(AB48="OK",1,0)</f>
        <v>1</v>
      </c>
      <c r="AF48" s="32">
        <f>+IF(AC48="OK",1,0)</f>
        <v>1</v>
      </c>
      <c r="AG48" s="32">
        <f>+IF(AD48="OK",1,0)</f>
        <v>1</v>
      </c>
      <c r="AH48" s="32">
        <f>SUM(AE48:AG48)</f>
        <v>3</v>
      </c>
      <c r="AI48" s="45">
        <f>IF(AH48=3,2*$B$7+U48,0)</f>
        <v>0.64500000000000002</v>
      </c>
      <c r="AJ48" s="21">
        <f>IF(AI48&gt;0,I48*VLOOKUP(T48,'$ alcantarillado'!$I$6:$K$22,3),0)</f>
        <v>1912173.3333333335</v>
      </c>
      <c r="AK48" s="21">
        <f t="shared" ref="AK48:AK72" si="70">IF(N48&gt;0,((($D$48-F48)+(U48))+(($D$73-H48)+(U48))/2)*AI48*I48*$C$9,0)</f>
        <v>2164104.0000000042</v>
      </c>
      <c r="AL48" s="21">
        <f t="shared" ref="AL48:AL72" si="71">IF(AI48&gt;0,(($D$48-F48)+U48)*$C$10,0)</f>
        <v>938784.44500000204</v>
      </c>
      <c r="AM48" s="21">
        <f>IF(AJ48&gt;0,AJ48+AK48+AL48,0)</f>
        <v>5015061.7783333398</v>
      </c>
      <c r="AN48" s="50">
        <f>+AP23</f>
        <v>0</v>
      </c>
      <c r="AO48" s="77" t="str">
        <f>IF((AM48)&gt;0,IF(AN48&gt;0,AM48+AN48,""),"")</f>
        <v/>
      </c>
      <c r="AP48" s="213">
        <f>+MIN(AO48:AO52)</f>
        <v>10262668.80666668</v>
      </c>
      <c r="AQ48" s="7"/>
      <c r="AR48" s="8"/>
    </row>
    <row r="49" spans="1:44" x14ac:dyDescent="0.25">
      <c r="A49" s="211"/>
      <c r="B49" s="211"/>
      <c r="C49" s="211"/>
      <c r="D49" s="211"/>
      <c r="E49" s="5">
        <v>2</v>
      </c>
      <c r="F49" s="2">
        <f>+H28</f>
        <v>47.875</v>
      </c>
      <c r="G49" s="5">
        <v>1</v>
      </c>
      <c r="H49" s="35">
        <f>+H48</f>
        <v>47.265000000000001</v>
      </c>
      <c r="I49" s="2">
        <f>+I48</f>
        <v>80</v>
      </c>
      <c r="J49" s="18">
        <f t="shared" si="9"/>
        <v>7.6249999999999929E-3</v>
      </c>
      <c r="K49" s="2">
        <f>+K48</f>
        <v>158</v>
      </c>
      <c r="L49" s="15">
        <f t="shared" si="10"/>
        <v>5.1920402377148429</v>
      </c>
      <c r="M49" s="33">
        <f t="shared" ref="M49:M52" si="72">+L49/1000</f>
        <v>5.1920402377148428E-3</v>
      </c>
      <c r="N49" s="33">
        <f t="shared" si="0"/>
        <v>9.5540627508621162E-2</v>
      </c>
      <c r="O49" s="33">
        <f t="shared" si="1"/>
        <v>3.7614420278984713</v>
      </c>
      <c r="P49" s="58">
        <f t="shared" si="12"/>
        <v>6</v>
      </c>
      <c r="Q49" s="55">
        <f>IF(O49&gt;0,VLOOKUP(P49,'$ alcantarillado'!$I$5:$L$22,4,FALSE),"0")</f>
        <v>0.14499999999999999</v>
      </c>
      <c r="R49" s="55">
        <f t="shared" si="2"/>
        <v>1.5793721798551638E-2</v>
      </c>
      <c r="S49" s="35">
        <f t="shared" si="3"/>
        <v>0.32874076825837079</v>
      </c>
      <c r="T49" s="58">
        <f>+IF(S49&gt;$B$13,VLOOKUP(P49,'$ alcantarillado'!$I$6:$N$22,5),P49)</f>
        <v>6</v>
      </c>
      <c r="U49" s="55">
        <f>IF(O49&gt;0,VLOOKUP(T49,'$ alcantarillado'!$I$5:$L$22,4),"0")</f>
        <v>0.14499999999999999</v>
      </c>
      <c r="V49" s="55">
        <f t="shared" si="4"/>
        <v>1.5793721798551638E-2</v>
      </c>
      <c r="W49" s="35">
        <f t="shared" si="5"/>
        <v>0.32874076825837079</v>
      </c>
      <c r="X49" s="35">
        <f t="shared" ref="X49:X52" si="73">IF(T49&gt;0,4*V49/(PI()*(U49)^2),"")</f>
        <v>0.95644190974847587</v>
      </c>
      <c r="Y49" s="55">
        <f>IF(T49&gt;0,(VLOOKUP($W49,Relaciones!$A$4:$D$108,2)),"")</f>
        <v>0.74</v>
      </c>
      <c r="Z49" s="35">
        <f t="shared" ref="Z49:Z52" si="74">IF(T49&gt;0,Y49*X49,"")</f>
        <v>0.70776701321387214</v>
      </c>
      <c r="AA49" s="35">
        <f t="shared" ref="AA49:AA52" si="75">IF(T49&gt;0,250*U49*J49,"")</f>
        <v>0.27640624999999974</v>
      </c>
      <c r="AB49" s="46" t="str">
        <f t="shared" ref="AB49:AB52" si="76">IF(T49&gt;0,IF(W49&lt;=$B$13,"OK","No Cumple"),"")</f>
        <v>OK</v>
      </c>
      <c r="AC49" s="46" t="str">
        <f t="shared" ref="AC49:AC52" si="77">IF(T49&gt;0,IF(Z49&gt;=$B$12,"OK","No Cumple"),"")</f>
        <v>OK</v>
      </c>
      <c r="AD49" s="46" t="str">
        <f t="shared" ref="AD49:AD52" si="78">IF(T49&gt;0,IF(AA49&gt;$B$14,"OK","No Cumple"),"")</f>
        <v>OK</v>
      </c>
      <c r="AE49" s="48">
        <f t="shared" ref="AE49:AG52" si="79">+IF(AB49="OK",1,0)</f>
        <v>1</v>
      </c>
      <c r="AF49" s="48">
        <f t="shared" si="79"/>
        <v>1</v>
      </c>
      <c r="AG49" s="48">
        <f t="shared" si="79"/>
        <v>1</v>
      </c>
      <c r="AH49" s="48">
        <f t="shared" ref="AH49:AH52" si="80">SUM(AE49:AG49)</f>
        <v>3</v>
      </c>
      <c r="AI49" s="46">
        <f t="shared" ref="AI49:AI52" si="81">IF(AH49=3,2*$B$7+U49,0)</f>
        <v>0.64500000000000002</v>
      </c>
      <c r="AJ49" s="20">
        <f>IF(AI49&gt;0,I49*VLOOKUP(T49,'$ alcantarillado'!$I$6:$K$22,3),0)</f>
        <v>1912173.3333333335</v>
      </c>
      <c r="AK49" s="20">
        <f t="shared" si="70"/>
        <v>2280204.0000000042</v>
      </c>
      <c r="AL49" s="20">
        <f t="shared" si="71"/>
        <v>1026032.070000002</v>
      </c>
      <c r="AM49" s="20">
        <f t="shared" si="22"/>
        <v>5218409.4033333398</v>
      </c>
      <c r="AN49" s="50">
        <f>+AP28</f>
        <v>0</v>
      </c>
      <c r="AO49" s="78" t="str">
        <f t="shared" ref="AO49:AO114" si="82">IF((AM49)&gt;0,IF(AN49&gt;0,AM49+AN49,""),"")</f>
        <v/>
      </c>
      <c r="AP49" s="214"/>
      <c r="AQ49" s="2">
        <v>3</v>
      </c>
      <c r="AR49" s="9">
        <v>1</v>
      </c>
    </row>
    <row r="50" spans="1:44" x14ac:dyDescent="0.25">
      <c r="A50" s="211"/>
      <c r="B50" s="211"/>
      <c r="C50" s="211"/>
      <c r="D50" s="211"/>
      <c r="E50" s="56">
        <v>3</v>
      </c>
      <c r="F50" s="2">
        <f>+H33</f>
        <v>47.75</v>
      </c>
      <c r="G50" s="56">
        <v>1</v>
      </c>
      <c r="H50" s="2">
        <f t="shared" ref="H50:I51" si="83">+H49</f>
        <v>47.265000000000001</v>
      </c>
      <c r="I50" s="2">
        <f t="shared" si="83"/>
        <v>80</v>
      </c>
      <c r="J50" s="18">
        <f t="shared" si="9"/>
        <v>6.0624999999999932E-3</v>
      </c>
      <c r="K50" s="2">
        <f t="shared" ref="K50:K51" si="84">+K49</f>
        <v>158</v>
      </c>
      <c r="L50" s="15">
        <f t="shared" si="10"/>
        <v>5.1920402377148429</v>
      </c>
      <c r="M50" s="33">
        <f t="shared" si="72"/>
        <v>5.1920402377148428E-3</v>
      </c>
      <c r="N50" s="33">
        <f t="shared" si="0"/>
        <v>9.9738046437711433E-2</v>
      </c>
      <c r="O50" s="33">
        <f t="shared" si="1"/>
        <v>3.9266947416421827</v>
      </c>
      <c r="P50" s="58">
        <f t="shared" si="12"/>
        <v>6</v>
      </c>
      <c r="Q50" s="55">
        <f>IF(O50&gt;0,VLOOKUP(P50,'$ alcantarillado'!$I$5:$L$22,4,FALSE),"0")</f>
        <v>0.14499999999999999</v>
      </c>
      <c r="R50" s="55">
        <f t="shared" si="2"/>
        <v>1.4082846175241982E-2</v>
      </c>
      <c r="S50" s="35">
        <f t="shared" si="3"/>
        <v>0.36867833200099759</v>
      </c>
      <c r="T50" s="58">
        <f>+IF(S50&gt;$B$13,VLOOKUP(P50,'$ alcantarillado'!$I$6:$N$22,5),P50)</f>
        <v>6</v>
      </c>
      <c r="U50" s="55">
        <f>IF(O50&gt;0,VLOOKUP(T50,'$ alcantarillado'!$I$5:$L$22,4),"0")</f>
        <v>0.14499999999999999</v>
      </c>
      <c r="V50" s="55">
        <f t="shared" si="4"/>
        <v>1.4082846175241982E-2</v>
      </c>
      <c r="W50" s="35">
        <f t="shared" si="5"/>
        <v>0.36867833200099759</v>
      </c>
      <c r="X50" s="35">
        <f t="shared" si="73"/>
        <v>0.8528340857427078</v>
      </c>
      <c r="Y50" s="55">
        <f>IF(T50&gt;0,(VLOOKUP($W50,Relaciones!$A$4:$D$108,2)),"")</f>
        <v>0.76800000000000002</v>
      </c>
      <c r="Z50" s="35">
        <f t="shared" si="74"/>
        <v>0.65497657785039964</v>
      </c>
      <c r="AA50" s="35">
        <f t="shared" si="75"/>
        <v>0.21976562499999974</v>
      </c>
      <c r="AB50" s="46" t="str">
        <f t="shared" si="76"/>
        <v>OK</v>
      </c>
      <c r="AC50" s="46" t="str">
        <f t="shared" si="77"/>
        <v>OK</v>
      </c>
      <c r="AD50" s="46" t="str">
        <f t="shared" si="78"/>
        <v>OK</v>
      </c>
      <c r="AE50" s="48">
        <f t="shared" si="79"/>
        <v>1</v>
      </c>
      <c r="AF50" s="48">
        <f t="shared" si="79"/>
        <v>1</v>
      </c>
      <c r="AG50" s="48">
        <f t="shared" si="79"/>
        <v>1</v>
      </c>
      <c r="AH50" s="48">
        <f t="shared" si="80"/>
        <v>3</v>
      </c>
      <c r="AI50" s="46">
        <f t="shared" si="81"/>
        <v>0.64500000000000002</v>
      </c>
      <c r="AJ50" s="20">
        <f>IF(AI50&gt;0,I50*VLOOKUP(T50,'$ alcantarillado'!$I$6:$K$22,3),0)</f>
        <v>1912173.3333333335</v>
      </c>
      <c r="AK50" s="20">
        <f t="shared" si="70"/>
        <v>2396304.0000000042</v>
      </c>
      <c r="AL50" s="20">
        <f t="shared" si="71"/>
        <v>1113279.6950000019</v>
      </c>
      <c r="AM50" s="20">
        <f t="shared" si="22"/>
        <v>5421757.0283333398</v>
      </c>
      <c r="AN50" s="50">
        <f>+AP33</f>
        <v>4840911.7783333398</v>
      </c>
      <c r="AO50" s="78">
        <f t="shared" si="82"/>
        <v>10262668.80666668</v>
      </c>
      <c r="AP50" s="215"/>
      <c r="AQ50" s="2"/>
      <c r="AR50" s="9"/>
    </row>
    <row r="51" spans="1:44" x14ac:dyDescent="0.25">
      <c r="A51" s="211"/>
      <c r="B51" s="211"/>
      <c r="C51" s="211"/>
      <c r="D51" s="211"/>
      <c r="E51" s="56">
        <v>4</v>
      </c>
      <c r="F51" s="2">
        <f>+H38</f>
        <v>47.625</v>
      </c>
      <c r="G51" s="56">
        <v>1</v>
      </c>
      <c r="H51" s="2">
        <f t="shared" si="83"/>
        <v>47.265000000000001</v>
      </c>
      <c r="I51" s="2">
        <f t="shared" si="83"/>
        <v>80</v>
      </c>
      <c r="J51" s="18">
        <f>+(F51-H51)/I51</f>
        <v>4.4999999999999927E-3</v>
      </c>
      <c r="K51" s="2">
        <f t="shared" si="84"/>
        <v>158</v>
      </c>
      <c r="L51" s="15">
        <f t="shared" si="10"/>
        <v>5.1920402377148429</v>
      </c>
      <c r="M51" s="33">
        <f t="shared" si="72"/>
        <v>5.1920402377148428E-3</v>
      </c>
      <c r="N51" s="33">
        <f t="shared" si="0"/>
        <v>0.1054704295004068</v>
      </c>
      <c r="O51" s="33">
        <f t="shared" si="1"/>
        <v>4.1523791141892445</v>
      </c>
      <c r="P51" s="58">
        <f t="shared" si="12"/>
        <v>6</v>
      </c>
      <c r="Q51" s="55">
        <f>IF(O51&gt;0,VLOOKUP(P51,'$ alcantarillado'!$I$5:$L$22,4,FALSE),"0")</f>
        <v>0.14499999999999999</v>
      </c>
      <c r="R51" s="55">
        <f t="shared" si="2"/>
        <v>1.2133073169688305E-2</v>
      </c>
      <c r="S51" s="35">
        <f t="shared" si="3"/>
        <v>0.42792457979120757</v>
      </c>
      <c r="T51" s="58">
        <f>+IF(S51&gt;$B$13,VLOOKUP(P51,'$ alcantarillado'!$I$6:$N$22,5),P51)</f>
        <v>6</v>
      </c>
      <c r="U51" s="55">
        <f>IF(O51&gt;0,VLOOKUP(T51,'$ alcantarillado'!$I$5:$L$22,4),"0")</f>
        <v>0.14499999999999999</v>
      </c>
      <c r="V51" s="55">
        <f t="shared" si="4"/>
        <v>1.2133073169688305E-2</v>
      </c>
      <c r="W51" s="35">
        <f t="shared" si="5"/>
        <v>0.42792457979120757</v>
      </c>
      <c r="X51" s="35">
        <f t="shared" si="73"/>
        <v>0.73475902776753177</v>
      </c>
      <c r="Y51" s="55">
        <f>IF(T51&gt;0,(VLOOKUP($W51,Relaciones!$A$4:$D$108,2)),"")</f>
        <v>0.80600000000000005</v>
      </c>
      <c r="Z51" s="35">
        <f t="shared" si="74"/>
        <v>0.59221577638063061</v>
      </c>
      <c r="AA51" s="35">
        <f t="shared" si="75"/>
        <v>0.16312499999999974</v>
      </c>
      <c r="AB51" s="46" t="str">
        <f t="shared" si="76"/>
        <v>OK</v>
      </c>
      <c r="AC51" s="46" t="str">
        <f t="shared" si="77"/>
        <v>OK</v>
      </c>
      <c r="AD51" s="46" t="str">
        <f t="shared" si="78"/>
        <v>OK</v>
      </c>
      <c r="AE51" s="48">
        <f t="shared" si="79"/>
        <v>1</v>
      </c>
      <c r="AF51" s="48">
        <f t="shared" si="79"/>
        <v>1</v>
      </c>
      <c r="AG51" s="48">
        <f t="shared" si="79"/>
        <v>1</v>
      </c>
      <c r="AH51" s="48">
        <f t="shared" si="80"/>
        <v>3</v>
      </c>
      <c r="AI51" s="46">
        <f t="shared" si="81"/>
        <v>0.64500000000000002</v>
      </c>
      <c r="AJ51" s="20">
        <f>IF(AI51&gt;0,I51*VLOOKUP(T51,'$ alcantarillado'!$I$6:$K$22,3),0)</f>
        <v>1912173.3333333335</v>
      </c>
      <c r="AK51" s="20">
        <f t="shared" si="70"/>
        <v>2512404.0000000042</v>
      </c>
      <c r="AL51" s="20">
        <f t="shared" si="71"/>
        <v>1200527.3200000019</v>
      </c>
      <c r="AM51" s="20">
        <f t="shared" si="22"/>
        <v>5625104.6533333398</v>
      </c>
      <c r="AN51" s="50">
        <f>+AP38</f>
        <v>4898961.7783333398</v>
      </c>
      <c r="AO51" s="78">
        <f t="shared" si="82"/>
        <v>10524066.43166668</v>
      </c>
      <c r="AP51" s="215"/>
      <c r="AQ51" s="2"/>
      <c r="AR51" s="9"/>
    </row>
    <row r="52" spans="1:44" ht="15.75" thickBot="1" x14ac:dyDescent="0.3">
      <c r="A52" s="211"/>
      <c r="B52" s="211"/>
      <c r="C52" s="211"/>
      <c r="D52" s="211"/>
      <c r="E52" s="6">
        <v>5</v>
      </c>
      <c r="F52" s="65">
        <f>+H43</f>
        <v>47.5</v>
      </c>
      <c r="G52" s="6">
        <v>1</v>
      </c>
      <c r="H52" s="10">
        <f>+H51</f>
        <v>47.265000000000001</v>
      </c>
      <c r="I52" s="10">
        <f>+I51</f>
        <v>80</v>
      </c>
      <c r="J52" s="19">
        <f t="shared" si="9"/>
        <v>2.9374999999999931E-3</v>
      </c>
      <c r="K52" s="10">
        <f>+K51</f>
        <v>158</v>
      </c>
      <c r="L52" s="16">
        <f t="shared" si="10"/>
        <v>5.1920402377148429</v>
      </c>
      <c r="M52" s="34">
        <f t="shared" si="72"/>
        <v>5.1920402377148428E-3</v>
      </c>
      <c r="N52" s="34">
        <f t="shared" si="0"/>
        <v>0.11425157857489923</v>
      </c>
      <c r="O52" s="34">
        <f t="shared" si="1"/>
        <v>4.498093644681072</v>
      </c>
      <c r="P52" s="59">
        <f t="shared" si="12"/>
        <v>6</v>
      </c>
      <c r="Q52" s="55">
        <f>IF(O52&gt;0,VLOOKUP(P52,'$ alcantarillado'!$I$5:$L$22,4,FALSE),"0")</f>
        <v>0.14499999999999999</v>
      </c>
      <c r="R52" s="55">
        <f t="shared" si="2"/>
        <v>9.8028757355427456E-3</v>
      </c>
      <c r="S52" s="35">
        <f t="shared" si="3"/>
        <v>0.52964460407162151</v>
      </c>
      <c r="T52" s="58">
        <f>+IF(S52&gt;$B$13,VLOOKUP(P52,'$ alcantarillado'!$I$6:$N$22,5),P52)</f>
        <v>6</v>
      </c>
      <c r="U52" s="55">
        <f>IF(O52&gt;0,VLOOKUP(T52,'$ alcantarillado'!$I$5:$L$22,4),"0")</f>
        <v>0.14499999999999999</v>
      </c>
      <c r="V52" s="55">
        <f t="shared" si="4"/>
        <v>9.8028757355427456E-3</v>
      </c>
      <c r="W52" s="35">
        <f t="shared" si="5"/>
        <v>0.52964460407162151</v>
      </c>
      <c r="X52" s="35">
        <f t="shared" si="73"/>
        <v>0.59364608982724476</v>
      </c>
      <c r="Y52" s="55">
        <f>IF(T52&gt;0,(VLOOKUP($W52,Relaciones!$A$4:$D$108,2)),"")</f>
        <v>0.86</v>
      </c>
      <c r="Z52" s="35">
        <f t="shared" si="74"/>
        <v>0.51053563725143047</v>
      </c>
      <c r="AA52" s="35">
        <f t="shared" si="75"/>
        <v>0.10648437499999974</v>
      </c>
      <c r="AB52" s="46" t="str">
        <f t="shared" si="76"/>
        <v>OK</v>
      </c>
      <c r="AC52" s="46" t="str">
        <f t="shared" si="77"/>
        <v>OK</v>
      </c>
      <c r="AD52" s="46" t="str">
        <f t="shared" si="78"/>
        <v>No Cumple</v>
      </c>
      <c r="AE52" s="48">
        <f t="shared" si="79"/>
        <v>1</v>
      </c>
      <c r="AF52" s="48">
        <f t="shared" si="79"/>
        <v>1</v>
      </c>
      <c r="AG52" s="48">
        <f t="shared" si="79"/>
        <v>0</v>
      </c>
      <c r="AH52" s="48">
        <f t="shared" si="80"/>
        <v>2</v>
      </c>
      <c r="AI52" s="46">
        <f t="shared" si="81"/>
        <v>0</v>
      </c>
      <c r="AJ52" s="22">
        <f>IF(AI52&gt;0,I52*VLOOKUP(T52,'$ alcantarillado'!$I$6:$K$22,3),0)</f>
        <v>0</v>
      </c>
      <c r="AK52" s="20">
        <f t="shared" si="70"/>
        <v>0</v>
      </c>
      <c r="AL52" s="20">
        <f t="shared" si="71"/>
        <v>0</v>
      </c>
      <c r="AM52" s="22">
        <f t="shared" si="22"/>
        <v>0</v>
      </c>
      <c r="AN52" s="50">
        <f>+AP43</f>
        <v>4957011.7783333398</v>
      </c>
      <c r="AO52" s="79" t="str">
        <f t="shared" si="82"/>
        <v/>
      </c>
      <c r="AP52" s="216"/>
      <c r="AQ52" s="10"/>
      <c r="AR52" s="11"/>
    </row>
    <row r="53" spans="1:44" x14ac:dyDescent="0.25">
      <c r="A53" s="211"/>
      <c r="B53" s="211"/>
      <c r="C53" s="211"/>
      <c r="D53" s="211"/>
      <c r="E53" s="4">
        <v>1</v>
      </c>
      <c r="F53" s="7">
        <f>+H23</f>
        <v>48</v>
      </c>
      <c r="G53" s="4">
        <v>2</v>
      </c>
      <c r="H53" s="35">
        <f>+H58+$B$15</f>
        <v>47.14</v>
      </c>
      <c r="I53" s="2">
        <f>+I52</f>
        <v>80</v>
      </c>
      <c r="J53" s="18">
        <f>+(F53-H53)/I53</f>
        <v>1.0749999999999992E-2</v>
      </c>
      <c r="K53" s="2">
        <f>+K52</f>
        <v>158</v>
      </c>
      <c r="L53" s="14">
        <f>IF(K53&lt;38,K53^0.3686*0.7401,IF(K53&lt;235,K53^0.4193*0.6215,IF(K53&lt;932,K53*0.0092+4.2493,K53*0.0069+6.7345)))</f>
        <v>5.1920402377148429</v>
      </c>
      <c r="M53" s="31">
        <f>+L53/1000</f>
        <v>5.1920402377148428E-3</v>
      </c>
      <c r="N53" s="31">
        <f t="shared" si="0"/>
        <v>8.9581632759616031E-2</v>
      </c>
      <c r="O53" s="31">
        <f t="shared" si="1"/>
        <v>3.5268359354179539</v>
      </c>
      <c r="P53" s="57">
        <f t="shared" si="12"/>
        <v>6</v>
      </c>
      <c r="Q53" s="60">
        <f>IF(O53&gt;0,VLOOKUP(P53,'$ alcantarillado'!$I$5:$L$22,4,FALSE),"0")</f>
        <v>0.14499999999999999</v>
      </c>
      <c r="R53" s="60">
        <f t="shared" si="2"/>
        <v>1.8752915292270699E-2</v>
      </c>
      <c r="S53" s="27">
        <f t="shared" si="3"/>
        <v>0.27686576496481169</v>
      </c>
      <c r="T53" s="57">
        <f>+IF(S53&gt;$B$13,VLOOKUP(P53,'$ alcantarillado'!$I$6:$N$22,5),P53)</f>
        <v>6</v>
      </c>
      <c r="U53" s="60">
        <f>IF(O53&gt;0,VLOOKUP(T53,'$ alcantarillado'!$I$5:$L$22,4),"0")</f>
        <v>0.14499999999999999</v>
      </c>
      <c r="V53" s="60">
        <f t="shared" si="4"/>
        <v>1.8752915292270699E-2</v>
      </c>
      <c r="W53" s="27">
        <f t="shared" si="5"/>
        <v>0.27686576496481169</v>
      </c>
      <c r="X53" s="27">
        <f>IF(T53&gt;0,4*V53/(PI()*(U53)^2),"")</f>
        <v>1.1356458182729046</v>
      </c>
      <c r="Y53" s="60">
        <f>IF(T53&gt;0,(VLOOKUP($W53,Relaciones!$A$4:$D$108,2)),"")</f>
        <v>0.70599999999999996</v>
      </c>
      <c r="Z53" s="27">
        <f>IF(T53&gt;0,Y53*X53,"")</f>
        <v>0.80176594770067056</v>
      </c>
      <c r="AA53" s="27">
        <f>IF(T53&gt;0,250*U53*J53,"")</f>
        <v>0.38968749999999974</v>
      </c>
      <c r="AB53" s="45" t="str">
        <f>IF(T53&gt;0,IF(W53&lt;=$B$13,"OK","No Cumple"),"")</f>
        <v>OK</v>
      </c>
      <c r="AC53" s="45" t="str">
        <f>IF(T53&gt;0,IF(Z53&gt;=$B$12,"OK","No Cumple"),"")</f>
        <v>OK</v>
      </c>
      <c r="AD53" s="45" t="str">
        <f>IF(T53&gt;0,IF(AA53&gt;$B$14,"OK","No Cumple"),"")</f>
        <v>OK</v>
      </c>
      <c r="AE53" s="32">
        <f>+IF(AB53="OK",1,0)</f>
        <v>1</v>
      </c>
      <c r="AF53" s="32">
        <f>+IF(AC53="OK",1,0)</f>
        <v>1</v>
      </c>
      <c r="AG53" s="32">
        <f>+IF(AD53="OK",1,0)</f>
        <v>1</v>
      </c>
      <c r="AH53" s="32">
        <f>SUM(AE53:AG53)</f>
        <v>3</v>
      </c>
      <c r="AI53" s="45">
        <f>IF(AH53=3,2*$B$7+U53,0)</f>
        <v>0.64500000000000002</v>
      </c>
      <c r="AJ53" s="21">
        <f>IF(AI53&gt;0,I53*VLOOKUP(T53,'$ alcantarillado'!$I$6:$K$22,3),0)</f>
        <v>1912173.3333333335</v>
      </c>
      <c r="AK53" s="21">
        <f t="shared" si="70"/>
        <v>2222154.0000000042</v>
      </c>
      <c r="AL53" s="21">
        <f t="shared" si="71"/>
        <v>938784.44500000204</v>
      </c>
      <c r="AM53" s="21">
        <f>IF(AJ53&gt;0,AJ53+AK53+AL53,0)</f>
        <v>5073111.7783333398</v>
      </c>
      <c r="AN53" s="49">
        <f>IF(AP23&gt;0,+AP23,0)</f>
        <v>0</v>
      </c>
      <c r="AO53" s="67" t="str">
        <f>IF((AM53)&gt;0,IF(AN53&gt;0,AM53+AN53,""),"")</f>
        <v/>
      </c>
      <c r="AP53" s="221">
        <f>+MIN(AO53:AO57)</f>
        <v>10320718.80666668</v>
      </c>
      <c r="AQ53" s="2"/>
      <c r="AR53" s="9"/>
    </row>
    <row r="54" spans="1:44" x14ac:dyDescent="0.25">
      <c r="A54" s="211"/>
      <c r="B54" s="211"/>
      <c r="C54" s="211"/>
      <c r="D54" s="211"/>
      <c r="E54" s="5">
        <v>2</v>
      </c>
      <c r="F54" s="2">
        <f>+H28</f>
        <v>47.875</v>
      </c>
      <c r="G54" s="5">
        <v>2</v>
      </c>
      <c r="H54" s="35">
        <f>+H53</f>
        <v>47.14</v>
      </c>
      <c r="I54" s="2">
        <f>+I53</f>
        <v>80</v>
      </c>
      <c r="J54" s="18">
        <f t="shared" si="9"/>
        <v>9.1874999999999925E-3</v>
      </c>
      <c r="K54" s="2">
        <f>+K53</f>
        <v>158</v>
      </c>
      <c r="L54" s="15">
        <f t="shared" si="10"/>
        <v>5.1920402377148429</v>
      </c>
      <c r="M54" s="33">
        <f t="shared" ref="M54:M57" si="85">+L54/1000</f>
        <v>5.1920402377148428E-3</v>
      </c>
      <c r="N54" s="33">
        <f t="shared" si="0"/>
        <v>9.2258960576735272E-2</v>
      </c>
      <c r="O54" s="33">
        <f t="shared" si="1"/>
        <v>3.6322425423911526</v>
      </c>
      <c r="P54" s="58">
        <f t="shared" si="12"/>
        <v>6</v>
      </c>
      <c r="Q54" s="55">
        <f>IF(O54&gt;0,VLOOKUP(P54,'$ alcantarillado'!$I$5:$L$22,4,FALSE),"0")</f>
        <v>0.14499999999999999</v>
      </c>
      <c r="R54" s="55">
        <f t="shared" si="2"/>
        <v>1.7336572328593754E-2</v>
      </c>
      <c r="S54" s="35">
        <f t="shared" si="3"/>
        <v>0.29948481968096125</v>
      </c>
      <c r="T54" s="58">
        <f>+IF(S54&gt;$B$13,VLOOKUP(P54,'$ alcantarillado'!$I$6:$N$22,5),P54)</f>
        <v>6</v>
      </c>
      <c r="U54" s="55">
        <f>IF(O54&gt;0,VLOOKUP(T54,'$ alcantarillado'!$I$5:$L$22,4),"0")</f>
        <v>0.14499999999999999</v>
      </c>
      <c r="V54" s="55">
        <f t="shared" si="4"/>
        <v>1.7336572328593754E-2</v>
      </c>
      <c r="W54" s="35">
        <f t="shared" si="5"/>
        <v>0.29948481968096125</v>
      </c>
      <c r="X54" s="35">
        <f t="shared" ref="X54:X57" si="86">IF(T54&gt;0,4*V54/(PI()*(U54)^2),"")</f>
        <v>1.0498744094614476</v>
      </c>
      <c r="Y54" s="55">
        <f>IF(T54&gt;0,(VLOOKUP($W54,Relaciones!$A$4:$D$108,2)),"")</f>
        <v>0.72</v>
      </c>
      <c r="Z54" s="35">
        <f t="shared" ref="Z54:Z57" si="87">IF(T54&gt;0,Y54*X54,"")</f>
        <v>0.7559095748122423</v>
      </c>
      <c r="AA54" s="35">
        <f t="shared" ref="AA54:AA57" si="88">IF(T54&gt;0,250*U54*J54,"")</f>
        <v>0.33304687499999974</v>
      </c>
      <c r="AB54" s="46" t="str">
        <f t="shared" ref="AB54:AB57" si="89">IF(T54&gt;0,IF(W54&lt;=$B$13,"OK","No Cumple"),"")</f>
        <v>OK</v>
      </c>
      <c r="AC54" s="46" t="str">
        <f t="shared" ref="AC54:AC57" si="90">IF(T54&gt;0,IF(Z54&gt;=$B$12,"OK","No Cumple"),"")</f>
        <v>OK</v>
      </c>
      <c r="AD54" s="46" t="str">
        <f t="shared" ref="AD54:AD57" si="91">IF(T54&gt;0,IF(AA54&gt;$B$14,"OK","No Cumple"),"")</f>
        <v>OK</v>
      </c>
      <c r="AE54" s="48">
        <f t="shared" ref="AE54:AG57" si="92">+IF(AB54="OK",1,0)</f>
        <v>1</v>
      </c>
      <c r="AF54" s="48">
        <f t="shared" si="92"/>
        <v>1</v>
      </c>
      <c r="AG54" s="48">
        <f t="shared" si="92"/>
        <v>1</v>
      </c>
      <c r="AH54" s="48">
        <f t="shared" ref="AH54:AH57" si="93">SUM(AE54:AG54)</f>
        <v>3</v>
      </c>
      <c r="AI54" s="46">
        <f t="shared" ref="AI54:AI57" si="94">IF(AH54=3,2*$B$7+U54,0)</f>
        <v>0.64500000000000002</v>
      </c>
      <c r="AJ54" s="20">
        <f>IF(AI54&gt;0,I54*VLOOKUP(T54,'$ alcantarillado'!$I$6:$K$22,3),0)</f>
        <v>1912173.3333333335</v>
      </c>
      <c r="AK54" s="20">
        <f t="shared" si="70"/>
        <v>2338254.0000000047</v>
      </c>
      <c r="AL54" s="20">
        <f t="shared" si="71"/>
        <v>1026032.070000002</v>
      </c>
      <c r="AM54" s="20">
        <f t="shared" si="22"/>
        <v>5276459.4033333398</v>
      </c>
      <c r="AN54" s="50">
        <f>+AP28</f>
        <v>0</v>
      </c>
      <c r="AO54" s="78" t="str">
        <f t="shared" si="82"/>
        <v/>
      </c>
      <c r="AP54" s="222"/>
      <c r="AQ54" s="2">
        <v>3</v>
      </c>
      <c r="AR54" s="9">
        <v>2</v>
      </c>
    </row>
    <row r="55" spans="1:44" x14ac:dyDescent="0.25">
      <c r="A55" s="211"/>
      <c r="B55" s="211"/>
      <c r="C55" s="211"/>
      <c r="D55" s="211"/>
      <c r="E55" s="56">
        <v>3</v>
      </c>
      <c r="F55" s="2">
        <f>+H33</f>
        <v>47.75</v>
      </c>
      <c r="G55" s="56">
        <v>2</v>
      </c>
      <c r="H55" s="35">
        <f t="shared" ref="H55:I56" si="95">+H54</f>
        <v>47.14</v>
      </c>
      <c r="I55" s="2">
        <f t="shared" si="95"/>
        <v>80</v>
      </c>
      <c r="J55" s="18">
        <f t="shared" si="9"/>
        <v>7.6249999999999929E-3</v>
      </c>
      <c r="K55" s="2">
        <f t="shared" ref="K55:K56" si="96">+K54</f>
        <v>158</v>
      </c>
      <c r="L55" s="15">
        <f t="shared" si="10"/>
        <v>5.1920402377148429</v>
      </c>
      <c r="M55" s="33">
        <f t="shared" si="85"/>
        <v>5.1920402377148428E-3</v>
      </c>
      <c r="N55" s="33">
        <f t="shared" si="0"/>
        <v>9.5540627508621162E-2</v>
      </c>
      <c r="O55" s="33">
        <f t="shared" si="1"/>
        <v>3.7614420278984713</v>
      </c>
      <c r="P55" s="58">
        <f t="shared" si="12"/>
        <v>6</v>
      </c>
      <c r="Q55" s="55">
        <f>IF(O55&gt;0,VLOOKUP(P55,'$ alcantarillado'!$I$5:$L$22,4,FALSE),"0")</f>
        <v>0.14499999999999999</v>
      </c>
      <c r="R55" s="55">
        <f t="shared" si="2"/>
        <v>1.5793721798551638E-2</v>
      </c>
      <c r="S55" s="35">
        <f t="shared" si="3"/>
        <v>0.32874076825837079</v>
      </c>
      <c r="T55" s="58">
        <f>+IF(S55&gt;$B$13,VLOOKUP(P55,'$ alcantarillado'!$I$6:$N$22,5),P55)</f>
        <v>6</v>
      </c>
      <c r="U55" s="55">
        <f>IF(O55&gt;0,VLOOKUP(T55,'$ alcantarillado'!$I$5:$L$22,4),"0")</f>
        <v>0.14499999999999999</v>
      </c>
      <c r="V55" s="55">
        <f t="shared" si="4"/>
        <v>1.5793721798551638E-2</v>
      </c>
      <c r="W55" s="35">
        <f t="shared" ref="W55:W86" si="97">IF(T55&gt;0,M55/V55,0)</f>
        <v>0.32874076825837079</v>
      </c>
      <c r="X55" s="35">
        <f t="shared" si="86"/>
        <v>0.95644190974847587</v>
      </c>
      <c r="Y55" s="55">
        <f>IF(T55&gt;0,(VLOOKUP($W55,Relaciones!$A$4:$D$108,2)),"")</f>
        <v>0.74</v>
      </c>
      <c r="Z55" s="35">
        <f t="shared" si="87"/>
        <v>0.70776701321387214</v>
      </c>
      <c r="AA55" s="35">
        <f t="shared" si="88"/>
        <v>0.27640624999999974</v>
      </c>
      <c r="AB55" s="46" t="str">
        <f t="shared" si="89"/>
        <v>OK</v>
      </c>
      <c r="AC55" s="46" t="str">
        <f t="shared" si="90"/>
        <v>OK</v>
      </c>
      <c r="AD55" s="46" t="str">
        <f t="shared" si="91"/>
        <v>OK</v>
      </c>
      <c r="AE55" s="48">
        <f t="shared" si="92"/>
        <v>1</v>
      </c>
      <c r="AF55" s="48">
        <f t="shared" si="92"/>
        <v>1</v>
      </c>
      <c r="AG55" s="48">
        <f t="shared" si="92"/>
        <v>1</v>
      </c>
      <c r="AH55" s="48">
        <f t="shared" si="93"/>
        <v>3</v>
      </c>
      <c r="AI55" s="46">
        <f t="shared" si="94"/>
        <v>0.64500000000000002</v>
      </c>
      <c r="AJ55" s="20">
        <f>IF(AI55&gt;0,I55*VLOOKUP(T55,'$ alcantarillado'!$I$6:$K$22,3),0)</f>
        <v>1912173.3333333335</v>
      </c>
      <c r="AK55" s="20">
        <f t="shared" si="70"/>
        <v>2454354.0000000042</v>
      </c>
      <c r="AL55" s="20">
        <f t="shared" si="71"/>
        <v>1113279.6950000019</v>
      </c>
      <c r="AM55" s="20">
        <f t="shared" si="22"/>
        <v>5479807.0283333398</v>
      </c>
      <c r="AN55" s="50">
        <f>+AP33</f>
        <v>4840911.7783333398</v>
      </c>
      <c r="AO55" s="78">
        <f t="shared" si="82"/>
        <v>10320718.80666668</v>
      </c>
      <c r="AP55" s="223"/>
      <c r="AQ55" s="2"/>
      <c r="AR55" s="9"/>
    </row>
    <row r="56" spans="1:44" x14ac:dyDescent="0.25">
      <c r="A56" s="211"/>
      <c r="B56" s="211"/>
      <c r="C56" s="211"/>
      <c r="D56" s="211"/>
      <c r="E56" s="56">
        <v>4</v>
      </c>
      <c r="F56" s="2">
        <f>+H38</f>
        <v>47.625</v>
      </c>
      <c r="G56" s="56">
        <v>2</v>
      </c>
      <c r="H56" s="35">
        <f t="shared" si="95"/>
        <v>47.14</v>
      </c>
      <c r="I56" s="2">
        <f t="shared" si="95"/>
        <v>80</v>
      </c>
      <c r="J56" s="18">
        <f>+(F56-H56)/I56</f>
        <v>6.0624999999999932E-3</v>
      </c>
      <c r="K56" s="2">
        <f t="shared" si="96"/>
        <v>158</v>
      </c>
      <c r="L56" s="15">
        <f t="shared" si="10"/>
        <v>5.1920402377148429</v>
      </c>
      <c r="M56" s="33">
        <f t="shared" si="85"/>
        <v>5.1920402377148428E-3</v>
      </c>
      <c r="N56" s="33">
        <f t="shared" si="0"/>
        <v>9.9738046437711433E-2</v>
      </c>
      <c r="O56" s="33">
        <f t="shared" si="1"/>
        <v>3.9266947416421827</v>
      </c>
      <c r="P56" s="58">
        <f t="shared" si="12"/>
        <v>6</v>
      </c>
      <c r="Q56" s="55">
        <f>IF(O56&gt;0,VLOOKUP(P56,'$ alcantarillado'!$I$5:$L$22,4,FALSE),"0")</f>
        <v>0.14499999999999999</v>
      </c>
      <c r="R56" s="55">
        <f t="shared" si="2"/>
        <v>1.4082846175241982E-2</v>
      </c>
      <c r="S56" s="35">
        <f t="shared" si="3"/>
        <v>0.36867833200099759</v>
      </c>
      <c r="T56" s="58">
        <f>+IF(S56&gt;$B$13,VLOOKUP(P56,'$ alcantarillado'!$I$6:$N$22,5),P56)</f>
        <v>6</v>
      </c>
      <c r="U56" s="55">
        <f>IF(O56&gt;0,VLOOKUP(T56,'$ alcantarillado'!$I$5:$L$22,4),"0")</f>
        <v>0.14499999999999999</v>
      </c>
      <c r="V56" s="55">
        <f t="shared" si="4"/>
        <v>1.4082846175241982E-2</v>
      </c>
      <c r="W56" s="35">
        <f t="shared" si="97"/>
        <v>0.36867833200099759</v>
      </c>
      <c r="X56" s="35">
        <f t="shared" si="86"/>
        <v>0.8528340857427078</v>
      </c>
      <c r="Y56" s="55">
        <f>IF(T56&gt;0,(VLOOKUP($W56,Relaciones!$A$4:$D$108,2)),"")</f>
        <v>0.76800000000000002</v>
      </c>
      <c r="Z56" s="35">
        <f t="shared" si="87"/>
        <v>0.65497657785039964</v>
      </c>
      <c r="AA56" s="35">
        <f t="shared" si="88"/>
        <v>0.21976562499999974</v>
      </c>
      <c r="AB56" s="46" t="str">
        <f t="shared" si="89"/>
        <v>OK</v>
      </c>
      <c r="AC56" s="46" t="str">
        <f t="shared" si="90"/>
        <v>OK</v>
      </c>
      <c r="AD56" s="46" t="str">
        <f t="shared" si="91"/>
        <v>OK</v>
      </c>
      <c r="AE56" s="48">
        <f t="shared" si="92"/>
        <v>1</v>
      </c>
      <c r="AF56" s="48">
        <f t="shared" si="92"/>
        <v>1</v>
      </c>
      <c r="AG56" s="48">
        <f t="shared" si="92"/>
        <v>1</v>
      </c>
      <c r="AH56" s="48">
        <f t="shared" si="93"/>
        <v>3</v>
      </c>
      <c r="AI56" s="46">
        <f t="shared" si="94"/>
        <v>0.64500000000000002</v>
      </c>
      <c r="AJ56" s="20">
        <f>IF(AI56&gt;0,I56*VLOOKUP(T56,'$ alcantarillado'!$I$6:$K$22,3),0)</f>
        <v>1912173.3333333335</v>
      </c>
      <c r="AK56" s="20">
        <f t="shared" si="70"/>
        <v>2570454.0000000042</v>
      </c>
      <c r="AL56" s="20">
        <f t="shared" si="71"/>
        <v>1200527.3200000019</v>
      </c>
      <c r="AM56" s="20">
        <f t="shared" si="22"/>
        <v>5683154.6533333398</v>
      </c>
      <c r="AN56" s="50">
        <f>+AP38</f>
        <v>4898961.7783333398</v>
      </c>
      <c r="AO56" s="78">
        <f t="shared" si="82"/>
        <v>10582116.43166668</v>
      </c>
      <c r="AP56" s="223"/>
      <c r="AQ56" s="2"/>
      <c r="AR56" s="9"/>
    </row>
    <row r="57" spans="1:44" ht="15.75" thickBot="1" x14ac:dyDescent="0.3">
      <c r="A57" s="211"/>
      <c r="B57" s="211"/>
      <c r="C57" s="211"/>
      <c r="D57" s="211"/>
      <c r="E57" s="6">
        <v>5</v>
      </c>
      <c r="F57" s="16">
        <f>+H43</f>
        <v>47.5</v>
      </c>
      <c r="G57" s="6">
        <v>2</v>
      </c>
      <c r="H57" s="65">
        <f>+H56</f>
        <v>47.14</v>
      </c>
      <c r="I57" s="10">
        <f>+I56</f>
        <v>80</v>
      </c>
      <c r="J57" s="19">
        <f t="shared" si="9"/>
        <v>4.4999999999999927E-3</v>
      </c>
      <c r="K57" s="10">
        <f>+K56</f>
        <v>158</v>
      </c>
      <c r="L57" s="16">
        <f t="shared" si="10"/>
        <v>5.1920402377148429</v>
      </c>
      <c r="M57" s="34">
        <f t="shared" si="85"/>
        <v>5.1920402377148428E-3</v>
      </c>
      <c r="N57" s="34">
        <f t="shared" si="0"/>
        <v>0.1054704295004068</v>
      </c>
      <c r="O57" s="34">
        <f t="shared" si="1"/>
        <v>4.1523791141892445</v>
      </c>
      <c r="P57" s="59">
        <f t="shared" si="12"/>
        <v>6</v>
      </c>
      <c r="Q57" s="55">
        <f>IF(O57&gt;0,VLOOKUP(P57,'$ alcantarillado'!$I$5:$L$22,4,FALSE),"0")</f>
        <v>0.14499999999999999</v>
      </c>
      <c r="R57" s="47">
        <f t="shared" si="2"/>
        <v>1.2133073169688305E-2</v>
      </c>
      <c r="S57" s="35">
        <f t="shared" si="3"/>
        <v>0.42792457979120757</v>
      </c>
      <c r="T57" s="58">
        <f>+IF(S57&gt;$B$13,VLOOKUP(P57,'$ alcantarillado'!$I$6:$N$22,5),P57)</f>
        <v>6</v>
      </c>
      <c r="U57" s="55">
        <f>IF(O57&gt;0,VLOOKUP(T57,'$ alcantarillado'!$I$5:$L$22,4),"0")</f>
        <v>0.14499999999999999</v>
      </c>
      <c r="V57" s="55">
        <f t="shared" si="4"/>
        <v>1.2133073169688305E-2</v>
      </c>
      <c r="W57" s="35">
        <f t="shared" si="97"/>
        <v>0.42792457979120757</v>
      </c>
      <c r="X57" s="35">
        <f t="shared" si="86"/>
        <v>0.73475902776753177</v>
      </c>
      <c r="Y57" s="55">
        <f>IF(T57&gt;0,(VLOOKUP($W57,Relaciones!$A$4:$D$108,2)),"")</f>
        <v>0.80600000000000005</v>
      </c>
      <c r="Z57" s="35">
        <f t="shared" si="87"/>
        <v>0.59221577638063061</v>
      </c>
      <c r="AA57" s="35">
        <f t="shared" si="88"/>
        <v>0.16312499999999974</v>
      </c>
      <c r="AB57" s="46" t="str">
        <f t="shared" si="89"/>
        <v>OK</v>
      </c>
      <c r="AC57" s="46" t="str">
        <f t="shared" si="90"/>
        <v>OK</v>
      </c>
      <c r="AD57" s="46" t="str">
        <f t="shared" si="91"/>
        <v>OK</v>
      </c>
      <c r="AE57" s="48">
        <f t="shared" si="92"/>
        <v>1</v>
      </c>
      <c r="AF57" s="48">
        <f t="shared" si="92"/>
        <v>1</v>
      </c>
      <c r="AG57" s="48">
        <f t="shared" si="92"/>
        <v>1</v>
      </c>
      <c r="AH57" s="48">
        <f t="shared" si="93"/>
        <v>3</v>
      </c>
      <c r="AI57" s="46">
        <f t="shared" si="94"/>
        <v>0.64500000000000002</v>
      </c>
      <c r="AJ57" s="22">
        <f>IF(AI57&gt;0,I57*VLOOKUP(T57,'$ alcantarillado'!$I$6:$K$22,3),0)</f>
        <v>1912173.3333333335</v>
      </c>
      <c r="AK57" s="20">
        <f t="shared" si="70"/>
        <v>2686554.0000000042</v>
      </c>
      <c r="AL57" s="20">
        <f t="shared" si="71"/>
        <v>1287774.9450000019</v>
      </c>
      <c r="AM57" s="22">
        <f t="shared" si="22"/>
        <v>5886502.2783333398</v>
      </c>
      <c r="AN57" s="51">
        <f>+AP43</f>
        <v>4957011.7783333398</v>
      </c>
      <c r="AO57" s="79">
        <f t="shared" si="82"/>
        <v>10843514.05666668</v>
      </c>
      <c r="AP57" s="224"/>
      <c r="AQ57" s="10"/>
      <c r="AR57" s="11"/>
    </row>
    <row r="58" spans="1:44" x14ac:dyDescent="0.25">
      <c r="A58" s="211"/>
      <c r="B58" s="211"/>
      <c r="C58" s="211"/>
      <c r="D58" s="211"/>
      <c r="E58" s="4">
        <v>1</v>
      </c>
      <c r="F58" s="7">
        <f>+H23</f>
        <v>48</v>
      </c>
      <c r="G58" s="4">
        <v>3</v>
      </c>
      <c r="H58" s="14">
        <f>+'LOGIKA AN-2'!H53</f>
        <v>47.015000000000001</v>
      </c>
      <c r="I58" s="7">
        <f t="shared" ref="I58" si="98">+I57</f>
        <v>80</v>
      </c>
      <c r="J58" s="18">
        <f>+(F58-H58)/I58</f>
        <v>1.2312499999999994E-2</v>
      </c>
      <c r="K58" s="7">
        <f t="shared" ref="K58" si="99">+K57</f>
        <v>158</v>
      </c>
      <c r="L58" s="14">
        <f>IF(K58&lt;38,K58^0.3686*0.7401,IF(K58&lt;235,K58^0.4193*0.6215,IF(K58&lt;932,K58*0.0092+4.2493,K58*0.0069+6.7345)))</f>
        <v>5.1920402377148429</v>
      </c>
      <c r="M58" s="31">
        <f>+L58/1000</f>
        <v>5.1920402377148428E-3</v>
      </c>
      <c r="N58" s="31">
        <f t="shared" si="0"/>
        <v>8.7330941097919015E-2</v>
      </c>
      <c r="O58" s="31">
        <f t="shared" si="1"/>
        <v>3.4382260274771266</v>
      </c>
      <c r="P58" s="57">
        <f t="shared" si="12"/>
        <v>6</v>
      </c>
      <c r="Q58" s="60">
        <f>IF(O58&gt;0,VLOOKUP(P58,'$ alcantarillado'!$I$5:$L$22,4,FALSE),"0")</f>
        <v>0.14499999999999999</v>
      </c>
      <c r="R58" s="60">
        <f t="shared" si="2"/>
        <v>2.006955215777367E-2</v>
      </c>
      <c r="S58" s="27">
        <f t="shared" si="3"/>
        <v>0.25870234656450847</v>
      </c>
      <c r="T58" s="57">
        <f>+IF(S58&gt;$B$13,VLOOKUP(P58,'$ alcantarillado'!$I$6:$N$22,5),P58)</f>
        <v>6</v>
      </c>
      <c r="U58" s="60">
        <f>IF(O58&gt;0,VLOOKUP(T58,'$ alcantarillado'!$I$5:$L$22,4),"0")</f>
        <v>0.14499999999999999</v>
      </c>
      <c r="V58" s="60">
        <f t="shared" si="4"/>
        <v>2.006955215777367E-2</v>
      </c>
      <c r="W58" s="27">
        <f t="shared" si="97"/>
        <v>0.25870234656450847</v>
      </c>
      <c r="X58" s="27">
        <f>IF(T58&gt;0,4*V58/(PI()*(U58)^2),"")</f>
        <v>1.2153791891749037</v>
      </c>
      <c r="Y58" s="60">
        <f>IF(T58&gt;0,(VLOOKUP($W58,Relaciones!$A$4:$D$108,2)),"")</f>
        <v>0.69499999999999995</v>
      </c>
      <c r="Z58" s="27">
        <f>IF(T58&gt;0,Y58*X58,"")</f>
        <v>0.84468853647655806</v>
      </c>
      <c r="AA58" s="27">
        <f>IF(T58&gt;0,250*U58*J58,"")</f>
        <v>0.44632812499999974</v>
      </c>
      <c r="AB58" s="45" t="str">
        <f>IF(T58&gt;0,IF(W58&lt;=$B$13,"OK","No Cumple"),"")</f>
        <v>OK</v>
      </c>
      <c r="AC58" s="45" t="str">
        <f>IF(T58&gt;0,IF(Z58&gt;=$B$12,"OK","No Cumple"),"")</f>
        <v>OK</v>
      </c>
      <c r="AD58" s="45" t="str">
        <f>IF(T58&gt;0,IF(AA58&gt;$B$14,"OK","No Cumple"),"")</f>
        <v>OK</v>
      </c>
      <c r="AE58" s="32">
        <f>+IF(AB58="OK",1,0)</f>
        <v>1</v>
      </c>
      <c r="AF58" s="32">
        <f>+IF(AC58="OK",1,0)</f>
        <v>1</v>
      </c>
      <c r="AG58" s="32">
        <f>+IF(AD58="OK",1,0)</f>
        <v>1</v>
      </c>
      <c r="AH58" s="32">
        <f>SUM(AE58:AG58)</f>
        <v>3</v>
      </c>
      <c r="AI58" s="45">
        <f>IF(AH58=3,2*$B$7+U58,0)</f>
        <v>0.64500000000000002</v>
      </c>
      <c r="AJ58" s="21">
        <f>IF(AI58&gt;0,I58*VLOOKUP(T58,'$ alcantarillado'!$I$6:$K$22,3),0)</f>
        <v>1912173.3333333335</v>
      </c>
      <c r="AK58" s="21">
        <f t="shared" si="70"/>
        <v>2280204.0000000042</v>
      </c>
      <c r="AL58" s="21">
        <f t="shared" si="71"/>
        <v>938784.44500000204</v>
      </c>
      <c r="AM58" s="21">
        <f>IF(AJ58&gt;0,AJ58+AK58+AL58,0)</f>
        <v>5131161.7783333398</v>
      </c>
      <c r="AN58" s="49">
        <f>IF(AP23&gt;0,+AP23,0)</f>
        <v>0</v>
      </c>
      <c r="AO58" s="77" t="str">
        <f>IF((AM58)&gt;0,IF(AN58&gt;0,AM58+AN58,""),"")</f>
        <v/>
      </c>
      <c r="AP58" s="213">
        <f>+MIN(AO58:AO62)</f>
        <v>10378768.80666668</v>
      </c>
      <c r="AQ58" s="7"/>
      <c r="AR58" s="8"/>
    </row>
    <row r="59" spans="1:44" x14ac:dyDescent="0.25">
      <c r="A59" s="211"/>
      <c r="B59" s="211"/>
      <c r="C59" s="211"/>
      <c r="D59" s="211"/>
      <c r="E59" s="5">
        <v>2</v>
      </c>
      <c r="F59" s="2">
        <f>+H28</f>
        <v>47.875</v>
      </c>
      <c r="G59" s="5">
        <v>3</v>
      </c>
      <c r="H59" s="15">
        <f>+H58</f>
        <v>47.015000000000001</v>
      </c>
      <c r="I59" s="2">
        <f>+I58</f>
        <v>80</v>
      </c>
      <c r="J59" s="18">
        <f t="shared" si="9"/>
        <v>1.0749999999999992E-2</v>
      </c>
      <c r="K59" s="2">
        <f>+K58</f>
        <v>158</v>
      </c>
      <c r="L59" s="15">
        <f t="shared" si="10"/>
        <v>5.1920402377148429</v>
      </c>
      <c r="M59" s="33">
        <f t="shared" ref="M59:M62" si="100">+L59/1000</f>
        <v>5.1920402377148428E-3</v>
      </c>
      <c r="N59" s="33">
        <f t="shared" si="0"/>
        <v>8.9581632759616031E-2</v>
      </c>
      <c r="O59" s="33">
        <f t="shared" si="1"/>
        <v>3.5268359354179539</v>
      </c>
      <c r="P59" s="58">
        <f t="shared" si="12"/>
        <v>6</v>
      </c>
      <c r="Q59" s="55">
        <f>IF(O59&gt;0,VLOOKUP(P59,'$ alcantarillado'!$I$5:$L$22,4,FALSE),"0")</f>
        <v>0.14499999999999999</v>
      </c>
      <c r="R59" s="55">
        <f t="shared" si="2"/>
        <v>1.8752915292270699E-2</v>
      </c>
      <c r="S59" s="35">
        <f t="shared" si="3"/>
        <v>0.27686576496481169</v>
      </c>
      <c r="T59" s="58">
        <f>+IF(S59&gt;$B$13,VLOOKUP(P59,'$ alcantarillado'!$I$6:$N$22,5),P59)</f>
        <v>6</v>
      </c>
      <c r="U59" s="55">
        <f>IF(O59&gt;0,VLOOKUP(T59,'$ alcantarillado'!$I$5:$L$22,4),"0")</f>
        <v>0.14499999999999999</v>
      </c>
      <c r="V59" s="55">
        <f t="shared" si="4"/>
        <v>1.8752915292270699E-2</v>
      </c>
      <c r="W59" s="35">
        <f t="shared" si="97"/>
        <v>0.27686576496481169</v>
      </c>
      <c r="X59" s="35">
        <f t="shared" ref="X59:X62" si="101">IF(T59&gt;0,4*V59/(PI()*(U59)^2),"")</f>
        <v>1.1356458182729046</v>
      </c>
      <c r="Y59" s="55">
        <f>IF(T59&gt;0,(VLOOKUP($W59,Relaciones!$A$4:$D$108,2)),"")</f>
        <v>0.70599999999999996</v>
      </c>
      <c r="Z59" s="35">
        <f t="shared" ref="Z59:Z62" si="102">IF(T59&gt;0,Y59*X59,"")</f>
        <v>0.80176594770067056</v>
      </c>
      <c r="AA59" s="35">
        <f t="shared" ref="AA59:AA62" si="103">IF(T59&gt;0,250*U59*J59,"")</f>
        <v>0.38968749999999974</v>
      </c>
      <c r="AB59" s="46" t="str">
        <f t="shared" ref="AB59:AB62" si="104">IF(T59&gt;0,IF(W59&lt;=$B$13,"OK","No Cumple"),"")</f>
        <v>OK</v>
      </c>
      <c r="AC59" s="46" t="str">
        <f t="shared" ref="AC59:AC62" si="105">IF(T59&gt;0,IF(Z59&gt;=$B$12,"OK","No Cumple"),"")</f>
        <v>OK</v>
      </c>
      <c r="AD59" s="46" t="str">
        <f t="shared" ref="AD59:AD62" si="106">IF(T59&gt;0,IF(AA59&gt;$B$14,"OK","No Cumple"),"")</f>
        <v>OK</v>
      </c>
      <c r="AE59" s="48">
        <f t="shared" ref="AE59:AG62" si="107">+IF(AB59="OK",1,0)</f>
        <v>1</v>
      </c>
      <c r="AF59" s="48">
        <f t="shared" si="107"/>
        <v>1</v>
      </c>
      <c r="AG59" s="48">
        <f t="shared" si="107"/>
        <v>1</v>
      </c>
      <c r="AH59" s="48">
        <f t="shared" ref="AH59:AH62" si="108">SUM(AE59:AG59)</f>
        <v>3</v>
      </c>
      <c r="AI59" s="46">
        <f t="shared" ref="AI59:AI62" si="109">IF(AH59=3,2*$B$7+U59,0)</f>
        <v>0.64500000000000002</v>
      </c>
      <c r="AJ59" s="20">
        <f>IF(AI59&gt;0,I59*VLOOKUP(T59,'$ alcantarillado'!$I$6:$K$22,3),0)</f>
        <v>1912173.3333333335</v>
      </c>
      <c r="AK59" s="20">
        <f t="shared" si="70"/>
        <v>2396304.0000000042</v>
      </c>
      <c r="AL59" s="20">
        <f t="shared" si="71"/>
        <v>1026032.070000002</v>
      </c>
      <c r="AM59" s="20">
        <f t="shared" si="22"/>
        <v>5334509.4033333398</v>
      </c>
      <c r="AN59" s="50">
        <f>+AP28</f>
        <v>0</v>
      </c>
      <c r="AO59" s="78" t="str">
        <f t="shared" si="82"/>
        <v/>
      </c>
      <c r="AP59" s="214"/>
      <c r="AQ59" s="2"/>
      <c r="AR59" s="9"/>
    </row>
    <row r="60" spans="1:44" x14ac:dyDescent="0.25">
      <c r="A60" s="211"/>
      <c r="B60" s="211"/>
      <c r="C60" s="211"/>
      <c r="D60" s="211"/>
      <c r="E60" s="56">
        <v>3</v>
      </c>
      <c r="F60" s="2">
        <f>+H33</f>
        <v>47.75</v>
      </c>
      <c r="G60" s="56">
        <v>3</v>
      </c>
      <c r="H60" s="15">
        <f t="shared" ref="H60:I61" si="110">+H59</f>
        <v>47.015000000000001</v>
      </c>
      <c r="I60" s="2">
        <f t="shared" si="110"/>
        <v>80</v>
      </c>
      <c r="J60" s="18">
        <f t="shared" si="9"/>
        <v>9.1874999999999925E-3</v>
      </c>
      <c r="K60" s="2">
        <f t="shared" ref="K60:K61" si="111">+K59</f>
        <v>158</v>
      </c>
      <c r="L60" s="15">
        <f t="shared" si="10"/>
        <v>5.1920402377148429</v>
      </c>
      <c r="M60" s="33">
        <f t="shared" si="100"/>
        <v>5.1920402377148428E-3</v>
      </c>
      <c r="N60" s="33">
        <f t="shared" si="0"/>
        <v>9.2258960576735272E-2</v>
      </c>
      <c r="O60" s="33">
        <f t="shared" si="1"/>
        <v>3.6322425423911526</v>
      </c>
      <c r="P60" s="58">
        <f t="shared" si="12"/>
        <v>6</v>
      </c>
      <c r="Q60" s="55">
        <f>IF(O60&gt;0,VLOOKUP(P60,'$ alcantarillado'!$I$5:$L$22,4,FALSE),"0")</f>
        <v>0.14499999999999999</v>
      </c>
      <c r="R60" s="55">
        <f t="shared" si="2"/>
        <v>1.7336572328593754E-2</v>
      </c>
      <c r="S60" s="35">
        <f t="shared" si="3"/>
        <v>0.29948481968096125</v>
      </c>
      <c r="T60" s="58">
        <f>+IF(S60&gt;$B$13,VLOOKUP(P60,'$ alcantarillado'!$I$6:$N$22,5),P60)</f>
        <v>6</v>
      </c>
      <c r="U60" s="55">
        <f>IF(O60&gt;0,VLOOKUP(T60,'$ alcantarillado'!$I$5:$L$22,4),"0")</f>
        <v>0.14499999999999999</v>
      </c>
      <c r="V60" s="55">
        <f t="shared" si="4"/>
        <v>1.7336572328593754E-2</v>
      </c>
      <c r="W60" s="35">
        <f t="shared" si="97"/>
        <v>0.29948481968096125</v>
      </c>
      <c r="X60" s="35">
        <f t="shared" si="101"/>
        <v>1.0498744094614476</v>
      </c>
      <c r="Y60" s="55">
        <f>IF(T60&gt;0,(VLOOKUP($W60,Relaciones!$A$4:$D$108,2)),"")</f>
        <v>0.72</v>
      </c>
      <c r="Z60" s="35">
        <f t="shared" si="102"/>
        <v>0.7559095748122423</v>
      </c>
      <c r="AA60" s="35">
        <f t="shared" si="103"/>
        <v>0.33304687499999974</v>
      </c>
      <c r="AB60" s="46" t="str">
        <f t="shared" si="104"/>
        <v>OK</v>
      </c>
      <c r="AC60" s="46" t="str">
        <f t="shared" si="105"/>
        <v>OK</v>
      </c>
      <c r="AD60" s="46" t="str">
        <f t="shared" si="106"/>
        <v>OK</v>
      </c>
      <c r="AE60" s="48">
        <f t="shared" si="107"/>
        <v>1</v>
      </c>
      <c r="AF60" s="48">
        <f t="shared" si="107"/>
        <v>1</v>
      </c>
      <c r="AG60" s="48">
        <f t="shared" si="107"/>
        <v>1</v>
      </c>
      <c r="AH60" s="48">
        <f t="shared" si="108"/>
        <v>3</v>
      </c>
      <c r="AI60" s="46">
        <f t="shared" si="109"/>
        <v>0.64500000000000002</v>
      </c>
      <c r="AJ60" s="20">
        <f>IF(AI60&gt;0,I60*VLOOKUP(T60,'$ alcantarillado'!$I$6:$K$22,3),0)</f>
        <v>1912173.3333333335</v>
      </c>
      <c r="AK60" s="20">
        <f t="shared" si="70"/>
        <v>2512404.0000000042</v>
      </c>
      <c r="AL60" s="20">
        <f t="shared" si="71"/>
        <v>1113279.6950000019</v>
      </c>
      <c r="AM60" s="20">
        <f t="shared" si="22"/>
        <v>5537857.0283333398</v>
      </c>
      <c r="AN60" s="50">
        <f>+AP33</f>
        <v>4840911.7783333398</v>
      </c>
      <c r="AO60" s="78">
        <f t="shared" si="82"/>
        <v>10378768.80666668</v>
      </c>
      <c r="AP60" s="215"/>
      <c r="AQ60" s="2"/>
      <c r="AR60" s="9"/>
    </row>
    <row r="61" spans="1:44" x14ac:dyDescent="0.25">
      <c r="A61" s="211"/>
      <c r="B61" s="211"/>
      <c r="C61" s="211"/>
      <c r="D61" s="211"/>
      <c r="E61" s="56">
        <v>4</v>
      </c>
      <c r="F61" s="2">
        <f>+H38</f>
        <v>47.625</v>
      </c>
      <c r="G61" s="56">
        <v>3</v>
      </c>
      <c r="H61" s="15">
        <f t="shared" si="110"/>
        <v>47.015000000000001</v>
      </c>
      <c r="I61" s="2">
        <f t="shared" si="110"/>
        <v>80</v>
      </c>
      <c r="J61" s="18">
        <f>+(F61-H61)/I61</f>
        <v>7.6249999999999929E-3</v>
      </c>
      <c r="K61" s="2">
        <f t="shared" si="111"/>
        <v>158</v>
      </c>
      <c r="L61" s="15">
        <f t="shared" si="10"/>
        <v>5.1920402377148429</v>
      </c>
      <c r="M61" s="33">
        <f t="shared" si="100"/>
        <v>5.1920402377148428E-3</v>
      </c>
      <c r="N61" s="33">
        <f t="shared" si="0"/>
        <v>9.5540627508621162E-2</v>
      </c>
      <c r="O61" s="33">
        <f t="shared" si="1"/>
        <v>3.7614420278984713</v>
      </c>
      <c r="P61" s="58">
        <f t="shared" si="12"/>
        <v>6</v>
      </c>
      <c r="Q61" s="55">
        <f>IF(O61&gt;0,VLOOKUP(P61,'$ alcantarillado'!$I$5:$L$22,4,FALSE),"0")</f>
        <v>0.14499999999999999</v>
      </c>
      <c r="R61" s="55">
        <f t="shared" si="2"/>
        <v>1.5793721798551638E-2</v>
      </c>
      <c r="S61" s="35">
        <f t="shared" si="3"/>
        <v>0.32874076825837079</v>
      </c>
      <c r="T61" s="58">
        <f>+IF(S61&gt;$B$13,VLOOKUP(P61,'$ alcantarillado'!$I$6:$N$22,5),P61)</f>
        <v>6</v>
      </c>
      <c r="U61" s="55">
        <f>IF(O61&gt;0,VLOOKUP(T61,'$ alcantarillado'!$I$5:$L$22,4),"0")</f>
        <v>0.14499999999999999</v>
      </c>
      <c r="V61" s="55">
        <f t="shared" si="4"/>
        <v>1.5793721798551638E-2</v>
      </c>
      <c r="W61" s="35">
        <f t="shared" si="97"/>
        <v>0.32874076825837079</v>
      </c>
      <c r="X61" s="35">
        <f t="shared" si="101"/>
        <v>0.95644190974847587</v>
      </c>
      <c r="Y61" s="55">
        <f>IF(T61&gt;0,(VLOOKUP($W61,Relaciones!$A$4:$D$108,2)),"")</f>
        <v>0.74</v>
      </c>
      <c r="Z61" s="35">
        <f t="shared" si="102"/>
        <v>0.70776701321387214</v>
      </c>
      <c r="AA61" s="35">
        <f t="shared" si="103"/>
        <v>0.27640624999999974</v>
      </c>
      <c r="AB61" s="46" t="str">
        <f t="shared" si="104"/>
        <v>OK</v>
      </c>
      <c r="AC61" s="46" t="str">
        <f t="shared" si="105"/>
        <v>OK</v>
      </c>
      <c r="AD61" s="46" t="str">
        <f t="shared" si="106"/>
        <v>OK</v>
      </c>
      <c r="AE61" s="48">
        <f t="shared" si="107"/>
        <v>1</v>
      </c>
      <c r="AF61" s="48">
        <f t="shared" si="107"/>
        <v>1</v>
      </c>
      <c r="AG61" s="48">
        <f t="shared" si="107"/>
        <v>1</v>
      </c>
      <c r="AH61" s="48">
        <f t="shared" si="108"/>
        <v>3</v>
      </c>
      <c r="AI61" s="46">
        <f t="shared" si="109"/>
        <v>0.64500000000000002</v>
      </c>
      <c r="AJ61" s="20">
        <f>IF(AI61&gt;0,I61*VLOOKUP(T61,'$ alcantarillado'!$I$6:$K$22,3),0)</f>
        <v>1912173.3333333335</v>
      </c>
      <c r="AK61" s="20">
        <f t="shared" si="70"/>
        <v>2628504.0000000047</v>
      </c>
      <c r="AL61" s="20">
        <f t="shared" si="71"/>
        <v>1200527.3200000019</v>
      </c>
      <c r="AM61" s="20">
        <f t="shared" si="22"/>
        <v>5741204.6533333398</v>
      </c>
      <c r="AN61" s="50">
        <f>+AP38</f>
        <v>4898961.7783333398</v>
      </c>
      <c r="AO61" s="78">
        <f t="shared" si="82"/>
        <v>10640166.43166668</v>
      </c>
      <c r="AP61" s="215"/>
      <c r="AQ61" s="2">
        <v>3</v>
      </c>
      <c r="AR61" s="9">
        <v>3</v>
      </c>
    </row>
    <row r="62" spans="1:44" ht="15.75" thickBot="1" x14ac:dyDescent="0.3">
      <c r="A62" s="211"/>
      <c r="B62" s="211"/>
      <c r="C62" s="211"/>
      <c r="D62" s="211"/>
      <c r="E62" s="6">
        <v>5</v>
      </c>
      <c r="F62" s="16">
        <f>+H43</f>
        <v>47.5</v>
      </c>
      <c r="G62" s="6">
        <v>3</v>
      </c>
      <c r="H62" s="16">
        <f>+H61</f>
        <v>47.015000000000001</v>
      </c>
      <c r="I62" s="10">
        <f>+I61</f>
        <v>80</v>
      </c>
      <c r="J62" s="19">
        <f t="shared" si="9"/>
        <v>6.0624999999999932E-3</v>
      </c>
      <c r="K62" s="10">
        <f>+K61</f>
        <v>158</v>
      </c>
      <c r="L62" s="16">
        <f t="shared" si="10"/>
        <v>5.1920402377148429</v>
      </c>
      <c r="M62" s="34">
        <f t="shared" si="100"/>
        <v>5.1920402377148428E-3</v>
      </c>
      <c r="N62" s="34">
        <f t="shared" si="0"/>
        <v>9.9738046437711433E-2</v>
      </c>
      <c r="O62" s="34">
        <f t="shared" si="1"/>
        <v>3.9266947416421827</v>
      </c>
      <c r="P62" s="59">
        <f t="shared" si="12"/>
        <v>6</v>
      </c>
      <c r="Q62" s="55">
        <f>IF(O62&gt;0,VLOOKUP(P62,'$ alcantarillado'!$I$5:$L$22,4,FALSE),"0")</f>
        <v>0.14499999999999999</v>
      </c>
      <c r="R62" s="47">
        <f t="shared" si="2"/>
        <v>1.4082846175241982E-2</v>
      </c>
      <c r="S62" s="35">
        <f t="shared" si="3"/>
        <v>0.36867833200099759</v>
      </c>
      <c r="T62" s="58">
        <f>+IF(S62&gt;$B$13,VLOOKUP(P62,'$ alcantarillado'!$I$6:$N$22,5),P62)</f>
        <v>6</v>
      </c>
      <c r="U62" s="55">
        <f>IF(O62&gt;0,VLOOKUP(T62,'$ alcantarillado'!$I$5:$L$22,4),"0")</f>
        <v>0.14499999999999999</v>
      </c>
      <c r="V62" s="55">
        <f t="shared" si="4"/>
        <v>1.4082846175241982E-2</v>
      </c>
      <c r="W62" s="35">
        <f t="shared" si="97"/>
        <v>0.36867833200099759</v>
      </c>
      <c r="X62" s="35">
        <f t="shared" si="101"/>
        <v>0.8528340857427078</v>
      </c>
      <c r="Y62" s="55">
        <f>IF(T62&gt;0,(VLOOKUP($W62,Relaciones!$A$4:$D$108,2)),"")</f>
        <v>0.76800000000000002</v>
      </c>
      <c r="Z62" s="35">
        <f t="shared" si="102"/>
        <v>0.65497657785039964</v>
      </c>
      <c r="AA62" s="35">
        <f t="shared" si="103"/>
        <v>0.21976562499999974</v>
      </c>
      <c r="AB62" s="46" t="str">
        <f t="shared" si="104"/>
        <v>OK</v>
      </c>
      <c r="AC62" s="46" t="str">
        <f t="shared" si="105"/>
        <v>OK</v>
      </c>
      <c r="AD62" s="46" t="str">
        <f t="shared" si="106"/>
        <v>OK</v>
      </c>
      <c r="AE62" s="48">
        <f t="shared" si="107"/>
        <v>1</v>
      </c>
      <c r="AF62" s="48">
        <f t="shared" si="107"/>
        <v>1</v>
      </c>
      <c r="AG62" s="48">
        <f t="shared" si="107"/>
        <v>1</v>
      </c>
      <c r="AH62" s="48">
        <f t="shared" si="108"/>
        <v>3</v>
      </c>
      <c r="AI62" s="46">
        <f t="shared" si="109"/>
        <v>0.64500000000000002</v>
      </c>
      <c r="AJ62" s="22">
        <f>IF(AI62&gt;0,I62*VLOOKUP(T62,'$ alcantarillado'!$I$6:$K$22,3),0)</f>
        <v>1912173.3333333335</v>
      </c>
      <c r="AK62" s="20">
        <f t="shared" si="70"/>
        <v>2744604.0000000042</v>
      </c>
      <c r="AL62" s="20">
        <f t="shared" si="71"/>
        <v>1287774.9450000019</v>
      </c>
      <c r="AM62" s="22">
        <f t="shared" si="22"/>
        <v>5944552.2783333398</v>
      </c>
      <c r="AN62" s="51">
        <f>+AP43</f>
        <v>4957011.7783333398</v>
      </c>
      <c r="AO62" s="79">
        <f t="shared" si="82"/>
        <v>10901564.05666668</v>
      </c>
      <c r="AP62" s="216"/>
      <c r="AQ62" s="10"/>
      <c r="AR62" s="11"/>
    </row>
    <row r="63" spans="1:44" x14ac:dyDescent="0.25">
      <c r="A63" s="211"/>
      <c r="B63" s="211"/>
      <c r="C63" s="211"/>
      <c r="D63" s="211"/>
      <c r="E63" s="4">
        <v>1</v>
      </c>
      <c r="F63" s="7">
        <f>+H23</f>
        <v>48</v>
      </c>
      <c r="G63" s="4">
        <v>4</v>
      </c>
      <c r="H63" s="14">
        <f>+H58-$B$15</f>
        <v>46.89</v>
      </c>
      <c r="I63" s="12">
        <f>+I58</f>
        <v>80</v>
      </c>
      <c r="J63" s="18">
        <f>+(F63-H63)/I63</f>
        <v>1.3874999999999993E-2</v>
      </c>
      <c r="K63" s="12">
        <f>+K58</f>
        <v>158</v>
      </c>
      <c r="L63" s="14">
        <f>IF(K63&lt;38,K63^0.3686*0.7401,IF(K63&lt;235,K63^0.4193*0.6215,IF(K63&lt;932,K63*0.0092+4.2493,K63*0.0069+6.7345)))</f>
        <v>5.1920402377148429</v>
      </c>
      <c r="M63" s="31">
        <f>+L63/1000</f>
        <v>5.1920402377148428E-3</v>
      </c>
      <c r="N63" s="31">
        <f t="shared" si="0"/>
        <v>8.5396363058151126E-2</v>
      </c>
      <c r="O63" s="31">
        <f t="shared" si="1"/>
        <v>3.3620615377224854</v>
      </c>
      <c r="P63" s="57">
        <f t="shared" si="12"/>
        <v>6</v>
      </c>
      <c r="Q63" s="60">
        <f>IF(O63&gt;0,VLOOKUP(P63,'$ alcantarillado'!$I$5:$L$22,4,FALSE),"0")</f>
        <v>0.14499999999999999</v>
      </c>
      <c r="R63" s="60">
        <f t="shared" si="2"/>
        <v>2.130497631231059E-2</v>
      </c>
      <c r="S63" s="27">
        <f t="shared" si="3"/>
        <v>0.24370082189271161</v>
      </c>
      <c r="T63" s="57">
        <f>+IF(S63&gt;$B$13,VLOOKUP(P63,'$ alcantarillado'!$I$6:$N$22,5),P63)</f>
        <v>6</v>
      </c>
      <c r="U63" s="60">
        <f>IF(O63&gt;0,VLOOKUP(T63,'$ alcantarillado'!$I$5:$L$22,4),"0")</f>
        <v>0.14499999999999999</v>
      </c>
      <c r="V63" s="60">
        <f t="shared" si="4"/>
        <v>2.130497631231059E-2</v>
      </c>
      <c r="W63" s="27">
        <f t="shared" si="97"/>
        <v>0.24370082189271161</v>
      </c>
      <c r="X63" s="27">
        <f>IF(T63&gt;0,4*V63/(PI()*(U63)^2),"")</f>
        <v>1.2901944513902386</v>
      </c>
      <c r="Y63" s="60">
        <f>IF(T63&gt;0,(VLOOKUP($W63,Relaciones!$A$4:$D$108,2)),"")</f>
        <v>0.68700000000000006</v>
      </c>
      <c r="Z63" s="27">
        <f>IF(T63&gt;0,Y63*X63,"")</f>
        <v>0.88636358810509397</v>
      </c>
      <c r="AA63" s="27">
        <f>IF(T63&gt;0,250*U63*J63,"")</f>
        <v>0.50296874999999974</v>
      </c>
      <c r="AB63" s="45" t="str">
        <f>IF(T63&gt;0,IF(W63&lt;=$B$13,"OK","No Cumple"),"")</f>
        <v>OK</v>
      </c>
      <c r="AC63" s="45" t="str">
        <f>IF(T63&gt;0,IF(Z63&gt;=$B$12,"OK","No Cumple"),"")</f>
        <v>OK</v>
      </c>
      <c r="AD63" s="45" t="str">
        <f>IF(T63&gt;0,IF(AA63&gt;$B$14,"OK","No Cumple"),"")</f>
        <v>OK</v>
      </c>
      <c r="AE63" s="32">
        <f>+IF(AB63="OK",1,0)</f>
        <v>1</v>
      </c>
      <c r="AF63" s="32">
        <f>+IF(AC63="OK",1,0)</f>
        <v>1</v>
      </c>
      <c r="AG63" s="32">
        <f>+IF(AD63="OK",1,0)</f>
        <v>1</v>
      </c>
      <c r="AH63" s="32">
        <f>SUM(AE63:AG63)</f>
        <v>3</v>
      </c>
      <c r="AI63" s="45">
        <f>IF(AH63=3,2*$B$7+U63,0)</f>
        <v>0.64500000000000002</v>
      </c>
      <c r="AJ63" s="21">
        <f>IF(AI63&gt;0,I63*VLOOKUP(T63,'$ alcantarillado'!$I$6:$K$22,3),0)</f>
        <v>1912173.3333333335</v>
      </c>
      <c r="AK63" s="21">
        <f t="shared" si="70"/>
        <v>2338254.0000000047</v>
      </c>
      <c r="AL63" s="21">
        <f t="shared" si="71"/>
        <v>938784.44500000204</v>
      </c>
      <c r="AM63" s="21">
        <f>IF(AJ63&gt;0,AJ63+AK63+AL63,0)</f>
        <v>5189211.7783333398</v>
      </c>
      <c r="AN63" s="49">
        <f>IF(AP23&gt;0,+AP23,0)</f>
        <v>0</v>
      </c>
      <c r="AO63" s="77" t="str">
        <f>IF((AM63)&gt;0,IF(AN63&gt;0,AM63+AN63,""),"")</f>
        <v/>
      </c>
      <c r="AP63" s="213">
        <f>+MIN(AO63:AO67)</f>
        <v>10436818.80666668</v>
      </c>
      <c r="AQ63" s="7"/>
      <c r="AR63" s="8"/>
    </row>
    <row r="64" spans="1:44" x14ac:dyDescent="0.25">
      <c r="A64" s="211"/>
      <c r="B64" s="211"/>
      <c r="C64" s="211"/>
      <c r="D64" s="211"/>
      <c r="E64" s="5">
        <v>2</v>
      </c>
      <c r="F64" s="2">
        <f>+H28</f>
        <v>47.875</v>
      </c>
      <c r="G64" s="5">
        <v>4</v>
      </c>
      <c r="H64" s="15">
        <f>+H63</f>
        <v>46.89</v>
      </c>
      <c r="I64" s="2">
        <f>+I63</f>
        <v>80</v>
      </c>
      <c r="J64" s="18">
        <f t="shared" si="9"/>
        <v>1.2312499999999994E-2</v>
      </c>
      <c r="K64" s="2">
        <f>+K63</f>
        <v>158</v>
      </c>
      <c r="L64" s="15">
        <f t="shared" si="10"/>
        <v>5.1920402377148429</v>
      </c>
      <c r="M64" s="33">
        <f t="shared" ref="M64:M67" si="112">+L64/1000</f>
        <v>5.1920402377148428E-3</v>
      </c>
      <c r="N64" s="33">
        <f t="shared" si="0"/>
        <v>8.7330941097919015E-2</v>
      </c>
      <c r="O64" s="33">
        <f t="shared" si="1"/>
        <v>3.4382260274771266</v>
      </c>
      <c r="P64" s="58">
        <f t="shared" si="12"/>
        <v>6</v>
      </c>
      <c r="Q64" s="55">
        <f>IF(O64&gt;0,VLOOKUP(P64,'$ alcantarillado'!$I$5:$L$22,4,FALSE),"0")</f>
        <v>0.14499999999999999</v>
      </c>
      <c r="R64" s="55">
        <f t="shared" si="2"/>
        <v>2.006955215777367E-2</v>
      </c>
      <c r="S64" s="35">
        <f t="shared" si="3"/>
        <v>0.25870234656450847</v>
      </c>
      <c r="T64" s="58">
        <f>+IF(S64&gt;$B$13,VLOOKUP(P64,'$ alcantarillado'!$I$6:$N$22,5),P64)</f>
        <v>6</v>
      </c>
      <c r="U64" s="55">
        <f>IF(O64&gt;0,VLOOKUP(T64,'$ alcantarillado'!$I$5:$L$22,4),"0")</f>
        <v>0.14499999999999999</v>
      </c>
      <c r="V64" s="55">
        <f t="shared" si="4"/>
        <v>2.006955215777367E-2</v>
      </c>
      <c r="W64" s="35">
        <f t="shared" si="97"/>
        <v>0.25870234656450847</v>
      </c>
      <c r="X64" s="35">
        <f t="shared" ref="X64:X67" si="113">IF(T64&gt;0,4*V64/(PI()*(U64)^2),"")</f>
        <v>1.2153791891749037</v>
      </c>
      <c r="Y64" s="55">
        <f>IF(T64&gt;0,(VLOOKUP($W64,Relaciones!$A$4:$D$108,2)),"")</f>
        <v>0.69499999999999995</v>
      </c>
      <c r="Z64" s="35">
        <f t="shared" ref="Z64:Z67" si="114">IF(T64&gt;0,Y64*X64,"")</f>
        <v>0.84468853647655806</v>
      </c>
      <c r="AA64" s="35">
        <f t="shared" ref="AA64:AA67" si="115">IF(T64&gt;0,250*U64*J64,"")</f>
        <v>0.44632812499999974</v>
      </c>
      <c r="AB64" s="46" t="str">
        <f t="shared" ref="AB64:AB67" si="116">IF(T64&gt;0,IF(W64&lt;=$B$13,"OK","No Cumple"),"")</f>
        <v>OK</v>
      </c>
      <c r="AC64" s="46" t="str">
        <f t="shared" ref="AC64:AC67" si="117">IF(T64&gt;0,IF(Z64&gt;=$B$12,"OK","No Cumple"),"")</f>
        <v>OK</v>
      </c>
      <c r="AD64" s="46" t="str">
        <f t="shared" ref="AD64:AD67" si="118">IF(T64&gt;0,IF(AA64&gt;$B$14,"OK","No Cumple"),"")</f>
        <v>OK</v>
      </c>
      <c r="AE64" s="48">
        <f t="shared" ref="AE64:AG67" si="119">+IF(AB64="OK",1,0)</f>
        <v>1</v>
      </c>
      <c r="AF64" s="48">
        <f t="shared" si="119"/>
        <v>1</v>
      </c>
      <c r="AG64" s="48">
        <f t="shared" si="119"/>
        <v>1</v>
      </c>
      <c r="AH64" s="48">
        <f t="shared" ref="AH64:AH67" si="120">SUM(AE64:AG64)</f>
        <v>3</v>
      </c>
      <c r="AI64" s="46">
        <f t="shared" ref="AI64:AI67" si="121">IF(AH64=3,2*$B$7+U64,0)</f>
        <v>0.64500000000000002</v>
      </c>
      <c r="AJ64" s="20">
        <f>IF(AI64&gt;0,I64*VLOOKUP(T64,'$ alcantarillado'!$I$6:$K$22,3),0)</f>
        <v>1912173.3333333335</v>
      </c>
      <c r="AK64" s="20">
        <f t="shared" si="70"/>
        <v>2454354.0000000042</v>
      </c>
      <c r="AL64" s="20">
        <f t="shared" si="71"/>
        <v>1026032.070000002</v>
      </c>
      <c r="AM64" s="20">
        <f t="shared" si="22"/>
        <v>5392559.4033333398</v>
      </c>
      <c r="AN64" s="50">
        <f>+AP28</f>
        <v>0</v>
      </c>
      <c r="AO64" s="78" t="str">
        <f t="shared" si="82"/>
        <v/>
      </c>
      <c r="AP64" s="214"/>
      <c r="AQ64" s="2"/>
      <c r="AR64" s="9"/>
    </row>
    <row r="65" spans="1:44" x14ac:dyDescent="0.25">
      <c r="A65" s="211"/>
      <c r="B65" s="211"/>
      <c r="C65" s="211"/>
      <c r="D65" s="211"/>
      <c r="E65" s="56">
        <v>3</v>
      </c>
      <c r="F65" s="2">
        <f>+H33</f>
        <v>47.75</v>
      </c>
      <c r="G65" s="5">
        <v>4</v>
      </c>
      <c r="H65" s="15">
        <f t="shared" ref="H65:I66" si="122">+H64</f>
        <v>46.89</v>
      </c>
      <c r="I65" s="2">
        <f t="shared" si="122"/>
        <v>80</v>
      </c>
      <c r="J65" s="18">
        <f t="shared" si="9"/>
        <v>1.0749999999999992E-2</v>
      </c>
      <c r="K65" s="2">
        <f t="shared" ref="K65:K66" si="123">+K64</f>
        <v>158</v>
      </c>
      <c r="L65" s="15">
        <f t="shared" si="10"/>
        <v>5.1920402377148429</v>
      </c>
      <c r="M65" s="33">
        <f t="shared" si="112"/>
        <v>5.1920402377148428E-3</v>
      </c>
      <c r="N65" s="33">
        <f t="shared" si="0"/>
        <v>8.9581632759616031E-2</v>
      </c>
      <c r="O65" s="33">
        <f t="shared" si="1"/>
        <v>3.5268359354179539</v>
      </c>
      <c r="P65" s="58">
        <f t="shared" si="12"/>
        <v>6</v>
      </c>
      <c r="Q65" s="55">
        <f>IF(O65&gt;0,VLOOKUP(P65,'$ alcantarillado'!$I$5:$L$22,4,FALSE),"0")</f>
        <v>0.14499999999999999</v>
      </c>
      <c r="R65" s="55">
        <f t="shared" si="2"/>
        <v>1.8752915292270699E-2</v>
      </c>
      <c r="S65" s="35">
        <f t="shared" si="3"/>
        <v>0.27686576496481169</v>
      </c>
      <c r="T65" s="58">
        <f>+IF(S65&gt;$B$13,VLOOKUP(P65,'$ alcantarillado'!$I$6:$N$22,5),P65)</f>
        <v>6</v>
      </c>
      <c r="U65" s="55">
        <f>IF(O65&gt;0,VLOOKUP(T65,'$ alcantarillado'!$I$5:$L$22,4),"0")</f>
        <v>0.14499999999999999</v>
      </c>
      <c r="V65" s="55">
        <f t="shared" si="4"/>
        <v>1.8752915292270699E-2</v>
      </c>
      <c r="W65" s="35">
        <f t="shared" si="97"/>
        <v>0.27686576496481169</v>
      </c>
      <c r="X65" s="35">
        <f t="shared" si="113"/>
        <v>1.1356458182729046</v>
      </c>
      <c r="Y65" s="55">
        <f>IF(T65&gt;0,(VLOOKUP($W65,Relaciones!$A$4:$D$108,2)),"")</f>
        <v>0.70599999999999996</v>
      </c>
      <c r="Z65" s="35">
        <f t="shared" si="114"/>
        <v>0.80176594770067056</v>
      </c>
      <c r="AA65" s="35">
        <f t="shared" si="115"/>
        <v>0.38968749999999974</v>
      </c>
      <c r="AB65" s="46" t="str">
        <f t="shared" si="116"/>
        <v>OK</v>
      </c>
      <c r="AC65" s="46" t="str">
        <f t="shared" si="117"/>
        <v>OK</v>
      </c>
      <c r="AD65" s="46" t="str">
        <f t="shared" si="118"/>
        <v>OK</v>
      </c>
      <c r="AE65" s="48">
        <f t="shared" si="119"/>
        <v>1</v>
      </c>
      <c r="AF65" s="48">
        <f t="shared" si="119"/>
        <v>1</v>
      </c>
      <c r="AG65" s="48">
        <f t="shared" si="119"/>
        <v>1</v>
      </c>
      <c r="AH65" s="48">
        <f t="shared" si="120"/>
        <v>3</v>
      </c>
      <c r="AI65" s="46">
        <f t="shared" si="121"/>
        <v>0.64500000000000002</v>
      </c>
      <c r="AJ65" s="20">
        <f>IF(AI65&gt;0,I65*VLOOKUP(T65,'$ alcantarillado'!$I$6:$K$22,3),0)</f>
        <v>1912173.3333333335</v>
      </c>
      <c r="AK65" s="20">
        <f t="shared" si="70"/>
        <v>2570454.0000000042</v>
      </c>
      <c r="AL65" s="20">
        <f t="shared" si="71"/>
        <v>1113279.6950000019</v>
      </c>
      <c r="AM65" s="20">
        <f t="shared" si="22"/>
        <v>5595907.0283333398</v>
      </c>
      <c r="AN65" s="50">
        <f>+AP33</f>
        <v>4840911.7783333398</v>
      </c>
      <c r="AO65" s="78">
        <f t="shared" si="82"/>
        <v>10436818.80666668</v>
      </c>
      <c r="AP65" s="215"/>
      <c r="AQ65" s="2">
        <v>3</v>
      </c>
      <c r="AR65" s="9">
        <v>4</v>
      </c>
    </row>
    <row r="66" spans="1:44" x14ac:dyDescent="0.25">
      <c r="A66" s="211"/>
      <c r="B66" s="211"/>
      <c r="C66" s="211"/>
      <c r="D66" s="211"/>
      <c r="E66" s="56">
        <v>4</v>
      </c>
      <c r="F66" s="2">
        <f>+H38</f>
        <v>47.625</v>
      </c>
      <c r="G66" s="56">
        <v>4</v>
      </c>
      <c r="H66" s="15">
        <f t="shared" si="122"/>
        <v>46.89</v>
      </c>
      <c r="I66" s="2">
        <f t="shared" si="122"/>
        <v>80</v>
      </c>
      <c r="J66" s="18">
        <f>+(F66-H66)/I66</f>
        <v>9.1874999999999925E-3</v>
      </c>
      <c r="K66" s="2">
        <f t="shared" si="123"/>
        <v>158</v>
      </c>
      <c r="L66" s="15">
        <f t="shared" si="10"/>
        <v>5.1920402377148429</v>
      </c>
      <c r="M66" s="33">
        <f t="shared" si="112"/>
        <v>5.1920402377148428E-3</v>
      </c>
      <c r="N66" s="33">
        <f t="shared" si="0"/>
        <v>9.2258960576735272E-2</v>
      </c>
      <c r="O66" s="33">
        <f t="shared" si="1"/>
        <v>3.6322425423911526</v>
      </c>
      <c r="P66" s="58">
        <f t="shared" si="12"/>
        <v>6</v>
      </c>
      <c r="Q66" s="55">
        <f>IF(O66&gt;0,VLOOKUP(P66,'$ alcantarillado'!$I$5:$L$22,4,FALSE),"0")</f>
        <v>0.14499999999999999</v>
      </c>
      <c r="R66" s="55">
        <f t="shared" si="2"/>
        <v>1.7336572328593754E-2</v>
      </c>
      <c r="S66" s="35">
        <f t="shared" si="3"/>
        <v>0.29948481968096125</v>
      </c>
      <c r="T66" s="58">
        <f>+IF(S66&gt;$B$13,VLOOKUP(P66,'$ alcantarillado'!$I$6:$N$22,5),P66)</f>
        <v>6</v>
      </c>
      <c r="U66" s="55">
        <f>IF(O66&gt;0,VLOOKUP(T66,'$ alcantarillado'!$I$5:$L$22,4),"0")</f>
        <v>0.14499999999999999</v>
      </c>
      <c r="V66" s="55">
        <f t="shared" si="4"/>
        <v>1.7336572328593754E-2</v>
      </c>
      <c r="W66" s="35">
        <f t="shared" si="97"/>
        <v>0.29948481968096125</v>
      </c>
      <c r="X66" s="35">
        <f t="shared" si="113"/>
        <v>1.0498744094614476</v>
      </c>
      <c r="Y66" s="55">
        <f>IF(T66&gt;0,(VLOOKUP($W66,Relaciones!$A$4:$D$108,2)),"")</f>
        <v>0.72</v>
      </c>
      <c r="Z66" s="35">
        <f t="shared" si="114"/>
        <v>0.7559095748122423</v>
      </c>
      <c r="AA66" s="35">
        <f t="shared" si="115"/>
        <v>0.33304687499999974</v>
      </c>
      <c r="AB66" s="46" t="str">
        <f t="shared" si="116"/>
        <v>OK</v>
      </c>
      <c r="AC66" s="46" t="str">
        <f t="shared" si="117"/>
        <v>OK</v>
      </c>
      <c r="AD66" s="46" t="str">
        <f t="shared" si="118"/>
        <v>OK</v>
      </c>
      <c r="AE66" s="48">
        <f t="shared" si="119"/>
        <v>1</v>
      </c>
      <c r="AF66" s="48">
        <f t="shared" si="119"/>
        <v>1</v>
      </c>
      <c r="AG66" s="48">
        <f t="shared" si="119"/>
        <v>1</v>
      </c>
      <c r="AH66" s="48">
        <f t="shared" si="120"/>
        <v>3</v>
      </c>
      <c r="AI66" s="46">
        <f t="shared" si="121"/>
        <v>0.64500000000000002</v>
      </c>
      <c r="AJ66" s="20">
        <f>IF(AI66&gt;0,I66*VLOOKUP(T66,'$ alcantarillado'!$I$6:$K$22,3),0)</f>
        <v>1912173.3333333335</v>
      </c>
      <c r="AK66" s="20">
        <f t="shared" si="70"/>
        <v>2686554.0000000042</v>
      </c>
      <c r="AL66" s="20">
        <f t="shared" si="71"/>
        <v>1200527.3200000019</v>
      </c>
      <c r="AM66" s="20">
        <f t="shared" si="22"/>
        <v>5799254.6533333398</v>
      </c>
      <c r="AN66" s="50">
        <f>+AP38</f>
        <v>4898961.7783333398</v>
      </c>
      <c r="AO66" s="78">
        <f t="shared" si="82"/>
        <v>10698216.43166668</v>
      </c>
      <c r="AP66" s="215"/>
      <c r="AQ66" s="2"/>
      <c r="AR66" s="9"/>
    </row>
    <row r="67" spans="1:44" ht="15.75" thickBot="1" x14ac:dyDescent="0.3">
      <c r="A67" s="211"/>
      <c r="B67" s="211"/>
      <c r="C67" s="211"/>
      <c r="D67" s="211"/>
      <c r="E67" s="6">
        <v>5</v>
      </c>
      <c r="F67" s="16">
        <f>+H43</f>
        <v>47.5</v>
      </c>
      <c r="G67" s="6">
        <v>4</v>
      </c>
      <c r="H67" s="16">
        <f>+H66</f>
        <v>46.89</v>
      </c>
      <c r="I67" s="10">
        <f>+I66</f>
        <v>80</v>
      </c>
      <c r="J67" s="19">
        <f t="shared" si="9"/>
        <v>7.6249999999999929E-3</v>
      </c>
      <c r="K67" s="10">
        <f>+K66</f>
        <v>158</v>
      </c>
      <c r="L67" s="16">
        <f t="shared" si="10"/>
        <v>5.1920402377148429</v>
      </c>
      <c r="M67" s="34">
        <f t="shared" si="112"/>
        <v>5.1920402377148428E-3</v>
      </c>
      <c r="N67" s="34">
        <f t="shared" si="0"/>
        <v>9.5540627508621162E-2</v>
      </c>
      <c r="O67" s="34">
        <f t="shared" si="1"/>
        <v>3.7614420278984713</v>
      </c>
      <c r="P67" s="59">
        <f t="shared" si="12"/>
        <v>6</v>
      </c>
      <c r="Q67" s="55">
        <f>IF(O67&gt;0,VLOOKUP(P67,'$ alcantarillado'!$I$5:$L$22,4,FALSE),"0")</f>
        <v>0.14499999999999999</v>
      </c>
      <c r="R67" s="47">
        <f t="shared" si="2"/>
        <v>1.5793721798551638E-2</v>
      </c>
      <c r="S67" s="35">
        <f t="shared" si="3"/>
        <v>0.32874076825837079</v>
      </c>
      <c r="T67" s="58">
        <f>+IF(S67&gt;$B$13,VLOOKUP(P67,'$ alcantarillado'!$I$6:$N$22,5),P67)</f>
        <v>6</v>
      </c>
      <c r="U67" s="55">
        <f>IF(O67&gt;0,VLOOKUP(T67,'$ alcantarillado'!$I$5:$L$22,4),"0")</f>
        <v>0.14499999999999999</v>
      </c>
      <c r="V67" s="55">
        <f t="shared" si="4"/>
        <v>1.5793721798551638E-2</v>
      </c>
      <c r="W67" s="35">
        <f t="shared" si="97"/>
        <v>0.32874076825837079</v>
      </c>
      <c r="X67" s="35">
        <f t="shared" si="113"/>
        <v>0.95644190974847587</v>
      </c>
      <c r="Y67" s="55">
        <f>IF(T67&gt;0,(VLOOKUP($W67,Relaciones!$A$4:$D$108,2)),"")</f>
        <v>0.74</v>
      </c>
      <c r="Z67" s="35">
        <f t="shared" si="114"/>
        <v>0.70776701321387214</v>
      </c>
      <c r="AA67" s="35">
        <f t="shared" si="115"/>
        <v>0.27640624999999974</v>
      </c>
      <c r="AB67" s="46" t="str">
        <f t="shared" si="116"/>
        <v>OK</v>
      </c>
      <c r="AC67" s="46" t="str">
        <f t="shared" si="117"/>
        <v>OK</v>
      </c>
      <c r="AD67" s="46" t="str">
        <f t="shared" si="118"/>
        <v>OK</v>
      </c>
      <c r="AE67" s="48">
        <f t="shared" si="119"/>
        <v>1</v>
      </c>
      <c r="AF67" s="48">
        <f t="shared" si="119"/>
        <v>1</v>
      </c>
      <c r="AG67" s="48">
        <f t="shared" si="119"/>
        <v>1</v>
      </c>
      <c r="AH67" s="48">
        <f t="shared" si="120"/>
        <v>3</v>
      </c>
      <c r="AI67" s="46">
        <f t="shared" si="121"/>
        <v>0.64500000000000002</v>
      </c>
      <c r="AJ67" s="22">
        <f>IF(AI67&gt;0,I67*VLOOKUP(T67,'$ alcantarillado'!$I$6:$K$22,3),0)</f>
        <v>1912173.3333333335</v>
      </c>
      <c r="AK67" s="20">
        <f t="shared" si="70"/>
        <v>2802654.0000000047</v>
      </c>
      <c r="AL67" s="20">
        <f t="shared" si="71"/>
        <v>1287774.9450000019</v>
      </c>
      <c r="AM67" s="22">
        <f t="shared" si="22"/>
        <v>6002602.2783333398</v>
      </c>
      <c r="AN67" s="51">
        <f>+AP43</f>
        <v>4957011.7783333398</v>
      </c>
      <c r="AO67" s="79">
        <f t="shared" si="82"/>
        <v>10959614.05666668</v>
      </c>
      <c r="AP67" s="216"/>
      <c r="AQ67" s="10"/>
      <c r="AR67" s="11"/>
    </row>
    <row r="68" spans="1:44" x14ac:dyDescent="0.25">
      <c r="A68" s="211"/>
      <c r="B68" s="211"/>
      <c r="C68" s="211"/>
      <c r="D68" s="211"/>
      <c r="E68" s="4">
        <v>1</v>
      </c>
      <c r="F68" s="7">
        <f>+H23</f>
        <v>48</v>
      </c>
      <c r="G68" s="4">
        <v>5</v>
      </c>
      <c r="H68" s="14">
        <f>+H58-2*$B$15</f>
        <v>46.765000000000001</v>
      </c>
      <c r="I68" s="12">
        <f>+I63</f>
        <v>80</v>
      </c>
      <c r="J68" s="18">
        <f>+(F68-H68)/I68</f>
        <v>1.5437499999999993E-2</v>
      </c>
      <c r="K68" s="12">
        <f>+K63</f>
        <v>158</v>
      </c>
      <c r="L68" s="14">
        <f>IF(K68&lt;38,K68^0.3686*0.7401,IF(K68&lt;235,K68^0.4193*0.6215,IF(K68&lt;932,K68*0.0092+4.2493,K68*0.0069+6.7345)))</f>
        <v>5.1920402377148429</v>
      </c>
      <c r="M68" s="31">
        <f>+L68/1000</f>
        <v>5.1920402377148428E-3</v>
      </c>
      <c r="N68" s="31">
        <f t="shared" si="0"/>
        <v>8.3704706686654085E-2</v>
      </c>
      <c r="O68" s="31">
        <f t="shared" si="1"/>
        <v>3.295460893175358</v>
      </c>
      <c r="P68" s="57">
        <f t="shared" si="12"/>
        <v>6</v>
      </c>
      <c r="Q68" s="60">
        <f>IF(O68&gt;0,VLOOKUP(P68,'$ alcantarillado'!$I$5:$L$22,4,FALSE),"0")</f>
        <v>0.14499999999999999</v>
      </c>
      <c r="R68" s="60">
        <f t="shared" si="2"/>
        <v>2.2472585688403386E-2</v>
      </c>
      <c r="S68" s="27">
        <f t="shared" si="3"/>
        <v>0.23103884482657067</v>
      </c>
      <c r="T68" s="57">
        <f>+IF(S68&gt;$B$13,VLOOKUP(P68,'$ alcantarillado'!$I$6:$N$22,5),P68)</f>
        <v>6</v>
      </c>
      <c r="U68" s="60">
        <f>IF(O68&gt;0,VLOOKUP(T68,'$ alcantarillado'!$I$5:$L$22,4),"0")</f>
        <v>0.14499999999999999</v>
      </c>
      <c r="V68" s="60">
        <f t="shared" si="4"/>
        <v>2.2472585688403386E-2</v>
      </c>
      <c r="W68" s="27">
        <f t="shared" si="97"/>
        <v>0.23103884482657067</v>
      </c>
      <c r="X68" s="27">
        <f>IF(T68&gt;0,4*V68/(PI()*(U68)^2),"")</f>
        <v>1.3609029617562265</v>
      </c>
      <c r="Y68" s="60">
        <f>IF(T68&gt;0,(VLOOKUP($W68,Relaciones!$A$4:$D$108,2)),"")</f>
        <v>0.68</v>
      </c>
      <c r="Z68" s="27">
        <f>IF(T68&gt;0,Y68*X68,"")</f>
        <v>0.92541401399423406</v>
      </c>
      <c r="AA68" s="27">
        <f>IF(T68&gt;0,250*U68*J68,"")</f>
        <v>0.55960937499999974</v>
      </c>
      <c r="AB68" s="45" t="str">
        <f>IF(T68&gt;0,IF(W68&lt;=$B$13,"OK","No Cumple"),"")</f>
        <v>OK</v>
      </c>
      <c r="AC68" s="45" t="str">
        <f>IF(T68&gt;0,IF(Z68&gt;=$B$12,"OK","No Cumple"),"")</f>
        <v>OK</v>
      </c>
      <c r="AD68" s="45" t="str">
        <f>IF(T68&gt;0,IF(AA68&gt;$B$14,"OK","No Cumple"),"")</f>
        <v>OK</v>
      </c>
      <c r="AE68" s="32">
        <f>+IF(AB68="OK",1,0)</f>
        <v>1</v>
      </c>
      <c r="AF68" s="32">
        <f>+IF(AC68="OK",1,0)</f>
        <v>1</v>
      </c>
      <c r="AG68" s="32">
        <f>+IF(AD68="OK",1,0)</f>
        <v>1</v>
      </c>
      <c r="AH68" s="32">
        <f>SUM(AE68:AG68)</f>
        <v>3</v>
      </c>
      <c r="AI68" s="45">
        <f>IF(AH68=3,2*$B$7+U68,0)</f>
        <v>0.64500000000000002</v>
      </c>
      <c r="AJ68" s="21">
        <f>IF(AI68&gt;0,I68*VLOOKUP(T68,'$ alcantarillado'!$I$6:$K$22,3),0)</f>
        <v>1912173.3333333335</v>
      </c>
      <c r="AK68" s="21">
        <f t="shared" si="70"/>
        <v>2396304.0000000042</v>
      </c>
      <c r="AL68" s="21">
        <f t="shared" si="71"/>
        <v>938784.44500000204</v>
      </c>
      <c r="AM68" s="21">
        <f>IF(AJ68&gt;0,AJ68+AK68+AL68,0)</f>
        <v>5247261.7783333398</v>
      </c>
      <c r="AN68" s="49">
        <f>IF(AP23&gt;0,+AP23,0)</f>
        <v>0</v>
      </c>
      <c r="AO68" s="77" t="str">
        <f>IF((AM68)&gt;0,IF(AN68&gt;0,AM68+AN68,""),"")</f>
        <v/>
      </c>
      <c r="AP68" s="213">
        <f>+MIN(AO68:AO72)</f>
        <v>10494868.80666668</v>
      </c>
      <c r="AQ68" s="2"/>
      <c r="AR68" s="9"/>
    </row>
    <row r="69" spans="1:44" x14ac:dyDescent="0.25">
      <c r="A69" s="211"/>
      <c r="B69" s="211"/>
      <c r="C69" s="211"/>
      <c r="D69" s="211"/>
      <c r="E69" s="5">
        <v>2</v>
      </c>
      <c r="F69" s="2">
        <f>+H28</f>
        <v>47.875</v>
      </c>
      <c r="G69" s="5">
        <v>5</v>
      </c>
      <c r="H69" s="15">
        <f>+H68</f>
        <v>46.765000000000001</v>
      </c>
      <c r="I69" s="2">
        <f>+I68</f>
        <v>80</v>
      </c>
      <c r="J69" s="18">
        <f t="shared" si="9"/>
        <v>1.3874999999999993E-2</v>
      </c>
      <c r="K69" s="2">
        <f>+K68</f>
        <v>158</v>
      </c>
      <c r="L69" s="15">
        <f t="shared" si="10"/>
        <v>5.1920402377148429</v>
      </c>
      <c r="M69" s="33">
        <f t="shared" ref="M69:M72" si="124">+L69/1000</f>
        <v>5.1920402377148428E-3</v>
      </c>
      <c r="N69" s="33">
        <f t="shared" si="0"/>
        <v>8.5396363058151126E-2</v>
      </c>
      <c r="O69" s="33">
        <f t="shared" si="1"/>
        <v>3.3620615377224854</v>
      </c>
      <c r="P69" s="58">
        <f t="shared" si="12"/>
        <v>6</v>
      </c>
      <c r="Q69" s="55">
        <f>IF(O69&gt;0,VLOOKUP(P69,'$ alcantarillado'!$I$5:$L$22,4,FALSE),"0")</f>
        <v>0.14499999999999999</v>
      </c>
      <c r="R69" s="55">
        <f t="shared" si="2"/>
        <v>2.130497631231059E-2</v>
      </c>
      <c r="S69" s="35">
        <f t="shared" si="3"/>
        <v>0.24370082189271161</v>
      </c>
      <c r="T69" s="58">
        <f>+IF(S69&gt;$B$13,VLOOKUP(P69,'$ alcantarillado'!$I$6:$N$22,5),P69)</f>
        <v>6</v>
      </c>
      <c r="U69" s="55">
        <f>IF(O69&gt;0,VLOOKUP(T69,'$ alcantarillado'!$I$5:$L$22,4),"0")</f>
        <v>0.14499999999999999</v>
      </c>
      <c r="V69" s="55">
        <f t="shared" si="4"/>
        <v>2.130497631231059E-2</v>
      </c>
      <c r="W69" s="35">
        <f t="shared" si="97"/>
        <v>0.24370082189271161</v>
      </c>
      <c r="X69" s="35">
        <f t="shared" ref="X69:X72" si="125">IF(T69&gt;0,4*V69/(PI()*(U69)^2),"")</f>
        <v>1.2901944513902386</v>
      </c>
      <c r="Y69" s="55">
        <f>IF(T69&gt;0,(VLOOKUP($W69,Relaciones!$A$4:$D$108,2)),"")</f>
        <v>0.68700000000000006</v>
      </c>
      <c r="Z69" s="35">
        <f t="shared" ref="Z69:Z72" si="126">IF(T69&gt;0,Y69*X69,"")</f>
        <v>0.88636358810509397</v>
      </c>
      <c r="AA69" s="35">
        <f t="shared" ref="AA69:AA72" si="127">IF(T69&gt;0,250*U69*J69,"")</f>
        <v>0.50296874999999974</v>
      </c>
      <c r="AB69" s="46" t="str">
        <f t="shared" ref="AB69:AB72" si="128">IF(T69&gt;0,IF(W69&lt;=$B$13,"OK","No Cumple"),"")</f>
        <v>OK</v>
      </c>
      <c r="AC69" s="46" t="str">
        <f t="shared" ref="AC69:AC72" si="129">IF(T69&gt;0,IF(Z69&gt;=$B$12,"OK","No Cumple"),"")</f>
        <v>OK</v>
      </c>
      <c r="AD69" s="46" t="str">
        <f t="shared" ref="AD69:AD72" si="130">IF(T69&gt;0,IF(AA69&gt;$B$14,"OK","No Cumple"),"")</f>
        <v>OK</v>
      </c>
      <c r="AE69" s="48">
        <f t="shared" ref="AE69:AG72" si="131">+IF(AB69="OK",1,0)</f>
        <v>1</v>
      </c>
      <c r="AF69" s="48">
        <f t="shared" si="131"/>
        <v>1</v>
      </c>
      <c r="AG69" s="48">
        <f t="shared" si="131"/>
        <v>1</v>
      </c>
      <c r="AH69" s="48">
        <f t="shared" ref="AH69:AH72" si="132">SUM(AE69:AG69)</f>
        <v>3</v>
      </c>
      <c r="AI69" s="46">
        <f t="shared" ref="AI69:AI72" si="133">IF(AH69=3,2*$B$7+U69,0)</f>
        <v>0.64500000000000002</v>
      </c>
      <c r="AJ69" s="20">
        <f>IF(AI69&gt;0,I69*VLOOKUP(T69,'$ alcantarillado'!$I$6:$K$22,3),0)</f>
        <v>1912173.3333333335</v>
      </c>
      <c r="AK69" s="20">
        <f t="shared" si="70"/>
        <v>2512404.0000000042</v>
      </c>
      <c r="AL69" s="20">
        <f t="shared" si="71"/>
        <v>1026032.070000002</v>
      </c>
      <c r="AM69" s="20">
        <f t="shared" si="22"/>
        <v>5450609.4033333398</v>
      </c>
      <c r="AN69" s="50">
        <f>+AP28</f>
        <v>0</v>
      </c>
      <c r="AO69" s="78" t="str">
        <f t="shared" si="82"/>
        <v/>
      </c>
      <c r="AP69" s="214"/>
      <c r="AQ69" s="2"/>
      <c r="AR69" s="9"/>
    </row>
    <row r="70" spans="1:44" x14ac:dyDescent="0.25">
      <c r="A70" s="211"/>
      <c r="B70" s="211"/>
      <c r="C70" s="211"/>
      <c r="D70" s="211"/>
      <c r="E70" s="56">
        <v>3</v>
      </c>
      <c r="F70" s="2">
        <f>+H33</f>
        <v>47.75</v>
      </c>
      <c r="G70" s="56">
        <v>5</v>
      </c>
      <c r="H70" s="15">
        <f t="shared" ref="H70:I71" si="134">+H69</f>
        <v>46.765000000000001</v>
      </c>
      <c r="I70" s="2">
        <f t="shared" si="134"/>
        <v>80</v>
      </c>
      <c r="J70" s="18">
        <f t="shared" si="9"/>
        <v>1.2312499999999994E-2</v>
      </c>
      <c r="K70" s="2">
        <f t="shared" ref="K70:K71" si="135">+K69</f>
        <v>158</v>
      </c>
      <c r="L70" s="15">
        <f t="shared" si="10"/>
        <v>5.1920402377148429</v>
      </c>
      <c r="M70" s="33">
        <f t="shared" si="124"/>
        <v>5.1920402377148428E-3</v>
      </c>
      <c r="N70" s="33">
        <f t="shared" si="0"/>
        <v>8.7330941097919015E-2</v>
      </c>
      <c r="O70" s="33">
        <f t="shared" si="1"/>
        <v>3.4382260274771266</v>
      </c>
      <c r="P70" s="58">
        <f t="shared" si="12"/>
        <v>6</v>
      </c>
      <c r="Q70" s="55">
        <f>IF(O70&gt;0,VLOOKUP(P70,'$ alcantarillado'!$I$5:$L$22,4,FALSE),"0")</f>
        <v>0.14499999999999999</v>
      </c>
      <c r="R70" s="55">
        <f t="shared" si="2"/>
        <v>2.006955215777367E-2</v>
      </c>
      <c r="S70" s="35">
        <f t="shared" si="3"/>
        <v>0.25870234656450847</v>
      </c>
      <c r="T70" s="58">
        <f>+IF(S70&gt;$B$13,VLOOKUP(P70,'$ alcantarillado'!$I$6:$N$22,5),P70)</f>
        <v>6</v>
      </c>
      <c r="U70" s="55">
        <f>IF(O70&gt;0,VLOOKUP(T70,'$ alcantarillado'!$I$5:$L$22,4),"0")</f>
        <v>0.14499999999999999</v>
      </c>
      <c r="V70" s="55">
        <f t="shared" si="4"/>
        <v>2.006955215777367E-2</v>
      </c>
      <c r="W70" s="35">
        <f t="shared" si="97"/>
        <v>0.25870234656450847</v>
      </c>
      <c r="X70" s="35">
        <f t="shared" si="125"/>
        <v>1.2153791891749037</v>
      </c>
      <c r="Y70" s="55">
        <f>IF(T70&gt;0,(VLOOKUP($W70,Relaciones!$A$4:$D$108,2)),"")</f>
        <v>0.69499999999999995</v>
      </c>
      <c r="Z70" s="35">
        <f t="shared" si="126"/>
        <v>0.84468853647655806</v>
      </c>
      <c r="AA70" s="35">
        <f t="shared" si="127"/>
        <v>0.44632812499999974</v>
      </c>
      <c r="AB70" s="46" t="str">
        <f t="shared" si="128"/>
        <v>OK</v>
      </c>
      <c r="AC70" s="46" t="str">
        <f t="shared" si="129"/>
        <v>OK</v>
      </c>
      <c r="AD70" s="46" t="str">
        <f t="shared" si="130"/>
        <v>OK</v>
      </c>
      <c r="AE70" s="48">
        <f t="shared" si="131"/>
        <v>1</v>
      </c>
      <c r="AF70" s="48">
        <f t="shared" si="131"/>
        <v>1</v>
      </c>
      <c r="AG70" s="48">
        <f t="shared" si="131"/>
        <v>1</v>
      </c>
      <c r="AH70" s="48">
        <f t="shared" si="132"/>
        <v>3</v>
      </c>
      <c r="AI70" s="46">
        <f t="shared" si="133"/>
        <v>0.64500000000000002</v>
      </c>
      <c r="AJ70" s="20">
        <f>IF(AI70&gt;0,I70*VLOOKUP(T70,'$ alcantarillado'!$I$6:$K$22,3),0)</f>
        <v>1912173.3333333335</v>
      </c>
      <c r="AK70" s="20">
        <f t="shared" si="70"/>
        <v>2628504.0000000047</v>
      </c>
      <c r="AL70" s="20">
        <f t="shared" si="71"/>
        <v>1113279.6950000019</v>
      </c>
      <c r="AM70" s="20">
        <f t="shared" si="22"/>
        <v>5653957.0283333398</v>
      </c>
      <c r="AN70" s="50">
        <f>+AP33</f>
        <v>4840911.7783333398</v>
      </c>
      <c r="AO70" s="78">
        <f t="shared" si="82"/>
        <v>10494868.80666668</v>
      </c>
      <c r="AP70" s="215"/>
      <c r="AQ70" s="2">
        <v>3</v>
      </c>
      <c r="AR70" s="9">
        <v>5</v>
      </c>
    </row>
    <row r="71" spans="1:44" x14ac:dyDescent="0.25">
      <c r="A71" s="211"/>
      <c r="B71" s="211"/>
      <c r="C71" s="211"/>
      <c r="D71" s="211"/>
      <c r="E71" s="56">
        <v>4</v>
      </c>
      <c r="F71" s="2">
        <f>+H38</f>
        <v>47.625</v>
      </c>
      <c r="G71" s="56">
        <v>5</v>
      </c>
      <c r="H71" s="15">
        <f t="shared" si="134"/>
        <v>46.765000000000001</v>
      </c>
      <c r="I71" s="2">
        <f t="shared" si="134"/>
        <v>80</v>
      </c>
      <c r="J71" s="18">
        <f>+(F71-H71)/I71</f>
        <v>1.0749999999999992E-2</v>
      </c>
      <c r="K71" s="2">
        <f t="shared" si="135"/>
        <v>158</v>
      </c>
      <c r="L71" s="15">
        <f t="shared" si="10"/>
        <v>5.1920402377148429</v>
      </c>
      <c r="M71" s="33">
        <f t="shared" si="124"/>
        <v>5.1920402377148428E-3</v>
      </c>
      <c r="N71" s="33">
        <f t="shared" si="0"/>
        <v>8.9581632759616031E-2</v>
      </c>
      <c r="O71" s="33">
        <f t="shared" si="1"/>
        <v>3.5268359354179539</v>
      </c>
      <c r="P71" s="58">
        <f t="shared" si="12"/>
        <v>6</v>
      </c>
      <c r="Q71" s="55">
        <f>IF(O71&gt;0,VLOOKUP(P71,'$ alcantarillado'!$I$5:$L$22,4,FALSE),"0")</f>
        <v>0.14499999999999999</v>
      </c>
      <c r="R71" s="55">
        <f t="shared" si="2"/>
        <v>1.8752915292270699E-2</v>
      </c>
      <c r="S71" s="35">
        <f t="shared" si="3"/>
        <v>0.27686576496481169</v>
      </c>
      <c r="T71" s="58">
        <f>+IF(S71&gt;$B$13,VLOOKUP(P71,'$ alcantarillado'!$I$6:$N$22,5),P71)</f>
        <v>6</v>
      </c>
      <c r="U71" s="55">
        <f>IF(O71&gt;0,VLOOKUP(T71,'$ alcantarillado'!$I$5:$L$22,4),"0")</f>
        <v>0.14499999999999999</v>
      </c>
      <c r="V71" s="55">
        <f t="shared" si="4"/>
        <v>1.8752915292270699E-2</v>
      </c>
      <c r="W71" s="35">
        <f t="shared" si="97"/>
        <v>0.27686576496481169</v>
      </c>
      <c r="X71" s="35">
        <f t="shared" si="125"/>
        <v>1.1356458182729046</v>
      </c>
      <c r="Y71" s="55">
        <f>IF(T71&gt;0,(VLOOKUP($W71,Relaciones!$A$4:$D$108,2)),"")</f>
        <v>0.70599999999999996</v>
      </c>
      <c r="Z71" s="35">
        <f t="shared" si="126"/>
        <v>0.80176594770067056</v>
      </c>
      <c r="AA71" s="35">
        <f t="shared" si="127"/>
        <v>0.38968749999999974</v>
      </c>
      <c r="AB71" s="46" t="str">
        <f t="shared" si="128"/>
        <v>OK</v>
      </c>
      <c r="AC71" s="46" t="str">
        <f t="shared" si="129"/>
        <v>OK</v>
      </c>
      <c r="AD71" s="46" t="str">
        <f t="shared" si="130"/>
        <v>OK</v>
      </c>
      <c r="AE71" s="48">
        <f t="shared" si="131"/>
        <v>1</v>
      </c>
      <c r="AF71" s="48">
        <f t="shared" si="131"/>
        <v>1</v>
      </c>
      <c r="AG71" s="48">
        <f t="shared" si="131"/>
        <v>1</v>
      </c>
      <c r="AH71" s="48">
        <f t="shared" si="132"/>
        <v>3</v>
      </c>
      <c r="AI71" s="46">
        <f t="shared" si="133"/>
        <v>0.64500000000000002</v>
      </c>
      <c r="AJ71" s="20">
        <f>IF(AI71&gt;0,I71*VLOOKUP(T71,'$ alcantarillado'!$I$6:$K$22,3),0)</f>
        <v>1912173.3333333335</v>
      </c>
      <c r="AK71" s="20">
        <f t="shared" si="70"/>
        <v>2744604.0000000042</v>
      </c>
      <c r="AL71" s="20">
        <f t="shared" si="71"/>
        <v>1200527.3200000019</v>
      </c>
      <c r="AM71" s="20">
        <f t="shared" si="22"/>
        <v>5857304.6533333398</v>
      </c>
      <c r="AN71" s="50">
        <f>+AP38</f>
        <v>4898961.7783333398</v>
      </c>
      <c r="AO71" s="78">
        <f t="shared" si="82"/>
        <v>10756266.43166668</v>
      </c>
      <c r="AP71" s="215"/>
      <c r="AQ71" s="2"/>
      <c r="AR71" s="9"/>
    </row>
    <row r="72" spans="1:44" ht="15.75" thickBot="1" x14ac:dyDescent="0.3">
      <c r="A72" s="212"/>
      <c r="B72" s="212"/>
      <c r="C72" s="212"/>
      <c r="D72" s="212"/>
      <c r="E72" s="6">
        <v>5</v>
      </c>
      <c r="F72" s="16">
        <f>+H43</f>
        <v>47.5</v>
      </c>
      <c r="G72" s="6">
        <v>5</v>
      </c>
      <c r="H72" s="16">
        <f>+H71</f>
        <v>46.765000000000001</v>
      </c>
      <c r="I72" s="10">
        <f>+I71</f>
        <v>80</v>
      </c>
      <c r="J72" s="19">
        <f t="shared" si="9"/>
        <v>9.1874999999999925E-3</v>
      </c>
      <c r="K72" s="10">
        <f>+K71</f>
        <v>158</v>
      </c>
      <c r="L72" s="16">
        <f t="shared" si="10"/>
        <v>5.1920402377148429</v>
      </c>
      <c r="M72" s="34">
        <f t="shared" si="124"/>
        <v>5.1920402377148428E-3</v>
      </c>
      <c r="N72" s="34">
        <f t="shared" si="0"/>
        <v>9.2258960576735272E-2</v>
      </c>
      <c r="O72" s="34">
        <f t="shared" si="1"/>
        <v>3.6322425423911526</v>
      </c>
      <c r="P72" s="59">
        <f t="shared" si="12"/>
        <v>6</v>
      </c>
      <c r="Q72" s="55">
        <f>IF(O72&gt;0,VLOOKUP(P72,'$ alcantarillado'!$I$5:$L$22,4,FALSE),"0")</f>
        <v>0.14499999999999999</v>
      </c>
      <c r="R72" s="47">
        <f t="shared" si="2"/>
        <v>1.7336572328593754E-2</v>
      </c>
      <c r="S72" s="35">
        <f t="shared" si="3"/>
        <v>0.29948481968096125</v>
      </c>
      <c r="T72" s="58">
        <f>+IF(S72&gt;$B$13,VLOOKUP(P72,'$ alcantarillado'!$I$6:$N$22,5),P72)</f>
        <v>6</v>
      </c>
      <c r="U72" s="55">
        <f>IF(O72&gt;0,VLOOKUP(T72,'$ alcantarillado'!$I$5:$L$22,4),"0")</f>
        <v>0.14499999999999999</v>
      </c>
      <c r="V72" s="55">
        <f t="shared" si="4"/>
        <v>1.7336572328593754E-2</v>
      </c>
      <c r="W72" s="35">
        <f t="shared" si="97"/>
        <v>0.29948481968096125</v>
      </c>
      <c r="X72" s="35">
        <f t="shared" si="125"/>
        <v>1.0498744094614476</v>
      </c>
      <c r="Y72" s="55">
        <f>IF(T72&gt;0,(VLOOKUP($W72,Relaciones!$A$4:$D$108,2)),"")</f>
        <v>0.72</v>
      </c>
      <c r="Z72" s="35">
        <f t="shared" si="126"/>
        <v>0.7559095748122423</v>
      </c>
      <c r="AA72" s="35">
        <f t="shared" si="127"/>
        <v>0.33304687499999974</v>
      </c>
      <c r="AB72" s="46" t="str">
        <f t="shared" si="128"/>
        <v>OK</v>
      </c>
      <c r="AC72" s="46" t="str">
        <f t="shared" si="129"/>
        <v>OK</v>
      </c>
      <c r="AD72" s="46" t="str">
        <f t="shared" si="130"/>
        <v>OK</v>
      </c>
      <c r="AE72" s="48">
        <f t="shared" si="131"/>
        <v>1</v>
      </c>
      <c r="AF72" s="48">
        <f t="shared" si="131"/>
        <v>1</v>
      </c>
      <c r="AG72" s="48">
        <f t="shared" si="131"/>
        <v>1</v>
      </c>
      <c r="AH72" s="48">
        <f t="shared" si="132"/>
        <v>3</v>
      </c>
      <c r="AI72" s="46">
        <f t="shared" si="133"/>
        <v>0.64500000000000002</v>
      </c>
      <c r="AJ72" s="22">
        <f>IF(AI72&gt;0,I72*VLOOKUP(T72,'$ alcantarillado'!$I$6:$K$22,3),0)</f>
        <v>1912173.3333333335</v>
      </c>
      <c r="AK72" s="20">
        <f t="shared" si="70"/>
        <v>2860704.0000000047</v>
      </c>
      <c r="AL72" s="20">
        <f t="shared" si="71"/>
        <v>1287774.9450000019</v>
      </c>
      <c r="AM72" s="22">
        <f t="shared" si="22"/>
        <v>6060652.2783333398</v>
      </c>
      <c r="AN72" s="51">
        <f>+AP43</f>
        <v>4957011.7783333398</v>
      </c>
      <c r="AO72" s="79">
        <f t="shared" si="82"/>
        <v>11017664.05666668</v>
      </c>
      <c r="AP72" s="216"/>
      <c r="AQ72" s="2"/>
      <c r="AR72" s="9"/>
    </row>
    <row r="73" spans="1:44" x14ac:dyDescent="0.25">
      <c r="A73" s="229">
        <v>3</v>
      </c>
      <c r="B73" s="229">
        <v>5</v>
      </c>
      <c r="C73" s="229">
        <v>6</v>
      </c>
      <c r="D73" s="229">
        <v>49.09</v>
      </c>
      <c r="E73" s="127">
        <v>1</v>
      </c>
      <c r="F73" s="189">
        <f>IF(H48&lt;H176,H48,H176)</f>
        <v>47.14</v>
      </c>
      <c r="G73" s="127">
        <v>1</v>
      </c>
      <c r="H73" s="136">
        <f>+H83+2*$B$15</f>
        <v>46.89</v>
      </c>
      <c r="I73" s="129">
        <v>80</v>
      </c>
      <c r="J73" s="130">
        <f>+(F73-H73)/I73</f>
        <v>3.1250000000000002E-3</v>
      </c>
      <c r="K73" s="131">
        <f>+K48+(K176)+H4</f>
        <v>1264</v>
      </c>
      <c r="L73" s="132">
        <f>IF(K73&lt;38,K73^0.3686*0.7401,IF(K73&lt;235,K73^0.4193*0.6215,IF(K73&lt;932,K73*0.0092+4.2493,K73*0.0069+6.7345)))</f>
        <v>15.456099999999999</v>
      </c>
      <c r="M73" s="133">
        <f>+L73/1000</f>
        <v>1.5456099999999999E-2</v>
      </c>
      <c r="N73" s="133">
        <f t="shared" si="0"/>
        <v>0.17001388158888045</v>
      </c>
      <c r="O73" s="133">
        <f t="shared" si="1"/>
        <v>6.6934599050740333</v>
      </c>
      <c r="P73" s="134">
        <f t="shared" si="12"/>
        <v>8</v>
      </c>
      <c r="Q73" s="135">
        <f>IF(O73&gt;0,VLOOKUP(P73,'$ alcantarillado'!$I$5:$L$22,4,FALSE),"0")</f>
        <v>0.182</v>
      </c>
      <c r="R73" s="135">
        <f t="shared" si="2"/>
        <v>1.8535256452762897E-2</v>
      </c>
      <c r="S73" s="136">
        <f t="shared" si="3"/>
        <v>0.83387570273925649</v>
      </c>
      <c r="T73" s="134">
        <f>+IF(S73&gt;$B$13,VLOOKUP(P73,'$ alcantarillado'!$I$6:$N$22,5),P73)</f>
        <v>8</v>
      </c>
      <c r="U73" s="135">
        <f>IF(O73&gt;0,VLOOKUP(T73,'$ alcantarillado'!$I$5:$L$22,4),"0")</f>
        <v>0.182</v>
      </c>
      <c r="V73" s="135">
        <f t="shared" si="4"/>
        <v>1.8535256452762897E-2</v>
      </c>
      <c r="W73" s="136">
        <f t="shared" si="97"/>
        <v>0.83387570273925649</v>
      </c>
      <c r="X73" s="136">
        <f>IF(T73&gt;0,4*V73/(PI()*(U73)^2),"")</f>
        <v>0.71246894962762097</v>
      </c>
      <c r="Y73" s="135">
        <f>IF(T73&gt;0,(VLOOKUP($W73,Relaciones!$A$4:$D$108,2)),"")</f>
        <v>0.99299999999999999</v>
      </c>
      <c r="Z73" s="136">
        <f>IF(T73&gt;0,Y73*X73,"")</f>
        <v>0.70748166698022763</v>
      </c>
      <c r="AA73" s="136">
        <f>IF(T73&gt;0,250*U73*J73,"")</f>
        <v>0.14218749999999999</v>
      </c>
      <c r="AB73" s="137" t="str">
        <f>IF(T73&gt;0,IF(W73&lt;=$B$13,"OK","No Cumple"),"")</f>
        <v>OK</v>
      </c>
      <c r="AC73" s="137" t="str">
        <f>IF(T73&gt;0,IF(Z73&gt;=$B$12,"OK","No Cumple"),"")</f>
        <v>OK</v>
      </c>
      <c r="AD73" s="137" t="str">
        <f>IF(T73&gt;0,IF(AA73&gt;$B$14,"OK","No Cumple"),"")</f>
        <v>No Cumple</v>
      </c>
      <c r="AE73" s="138">
        <f>+IF(AB73="OK",1,0)</f>
        <v>1</v>
      </c>
      <c r="AF73" s="138">
        <f>+IF(AC73="OK",1,0)</f>
        <v>1</v>
      </c>
      <c r="AG73" s="138">
        <f>+IF(AD73="OK",1,0)</f>
        <v>0</v>
      </c>
      <c r="AH73" s="138">
        <f>SUM(AE73:AG73)</f>
        <v>2</v>
      </c>
      <c r="AI73" s="137">
        <f>IF(AH73=3,2*$B$7+U73,0)</f>
        <v>0</v>
      </c>
      <c r="AJ73" s="139">
        <f>IF(AI73&gt;0,I73*VLOOKUP(T73,'$ alcantarillado'!$I$6:$K$22,3),0)</f>
        <v>0</v>
      </c>
      <c r="AK73" s="139">
        <f t="shared" ref="AK73:AK97" si="136">IF(N73&gt;0,((($D$73-F73)+(U73))+(($D$98-H73)+(U73))/2)*AI73*I73*$C$9,0)</f>
        <v>0</v>
      </c>
      <c r="AL73" s="139">
        <f t="shared" ref="AL73:AL97" si="137">IF(AI73&gt;0,(($D$73-F73)+U73)*$C$10,0)</f>
        <v>0</v>
      </c>
      <c r="AM73" s="139">
        <f>IF(AJ73&gt;0,AJ73+AK73+AL73,0)</f>
        <v>0</v>
      </c>
      <c r="AN73" s="179">
        <f>IF(AP48&gt;0,IF(AP176&gt;0,AP48+AP176,0),0)</f>
        <v>0</v>
      </c>
      <c r="AO73" s="140" t="str">
        <f>IF((AM73)&gt;0,IF(AN73&gt;0,AM73+AN73,""),"")</f>
        <v/>
      </c>
      <c r="AP73" s="225">
        <f>+MIN(AO73:AO77)</f>
        <v>0</v>
      </c>
      <c r="AQ73" s="129"/>
      <c r="AR73" s="163"/>
    </row>
    <row r="74" spans="1:44" x14ac:dyDescent="0.25">
      <c r="A74" s="230"/>
      <c r="B74" s="230"/>
      <c r="C74" s="230"/>
      <c r="D74" s="230"/>
      <c r="E74" s="141">
        <v>2</v>
      </c>
      <c r="F74" s="190">
        <f>IF(H53&lt;H181,H53,H181)</f>
        <v>47.015000000000001</v>
      </c>
      <c r="G74" s="141">
        <v>1</v>
      </c>
      <c r="H74" s="146">
        <f>+H73</f>
        <v>46.89</v>
      </c>
      <c r="I74" s="142">
        <f>+I73</f>
        <v>80</v>
      </c>
      <c r="J74" s="143">
        <f t="shared" si="9"/>
        <v>1.5625000000000001E-3</v>
      </c>
      <c r="K74" s="142">
        <f>+K73</f>
        <v>1264</v>
      </c>
      <c r="L74" s="128">
        <f t="shared" si="10"/>
        <v>15.456099999999999</v>
      </c>
      <c r="M74" s="144">
        <f t="shared" ref="M74:M77" si="138">+L74/1000</f>
        <v>1.5456099999999999E-2</v>
      </c>
      <c r="N74" s="144">
        <f t="shared" si="0"/>
        <v>0.19360987610428701</v>
      </c>
      <c r="O74" s="144">
        <f t="shared" si="1"/>
        <v>7.6224360670979143</v>
      </c>
      <c r="P74" s="145">
        <f t="shared" si="12"/>
        <v>8</v>
      </c>
      <c r="Q74" s="113">
        <f>IF(O74&gt;0,VLOOKUP(P74,'$ alcantarillado'!$I$5:$L$22,4,FALSE),"0")</f>
        <v>0.182</v>
      </c>
      <c r="R74" s="113">
        <f t="shared" si="2"/>
        <v>1.3106405528780356E-2</v>
      </c>
      <c r="S74" s="146">
        <f t="shared" si="3"/>
        <v>1.1792783281472521</v>
      </c>
      <c r="T74" s="145">
        <f>+IF(S74&gt;$B$13,VLOOKUP(P74,'$ alcantarillado'!$I$6:$N$22,5),P74)</f>
        <v>10</v>
      </c>
      <c r="U74" s="113">
        <f>IF(O74&gt;0,VLOOKUP(T74,'$ alcantarillado'!$I$5:$L$22,4),"0")</f>
        <v>0.22700000000000001</v>
      </c>
      <c r="V74" s="113">
        <f t="shared" si="4"/>
        <v>2.3624476083504924E-2</v>
      </c>
      <c r="W74" s="146">
        <f t="shared" si="97"/>
        <v>0.65424096370931817</v>
      </c>
      <c r="X74" s="146">
        <f t="shared" ref="X74:X77" si="139">IF(T74&gt;0,4*V74/(PI()*(U74)^2),"")</f>
        <v>0.5837415275508655</v>
      </c>
      <c r="Y74" s="113">
        <f>IF(T74&gt;0,(VLOOKUP($W74,Relaciones!$A$4:$D$108,2)),"")</f>
        <v>0.92200000000000004</v>
      </c>
      <c r="Z74" s="146">
        <f t="shared" ref="Z74:Z77" si="140">IF(T74&gt;0,Y74*X74,"")</f>
        <v>0.53820968840189798</v>
      </c>
      <c r="AA74" s="146">
        <f t="shared" ref="AA74:AA77" si="141">IF(T74&gt;0,250*U74*J74,"")</f>
        <v>8.8671875000000011E-2</v>
      </c>
      <c r="AB74" s="147" t="str">
        <f t="shared" ref="AB74:AB77" si="142">IF(T74&gt;0,IF(W74&lt;=$B$13,"OK","No Cumple"),"")</f>
        <v>OK</v>
      </c>
      <c r="AC74" s="147" t="str">
        <f t="shared" ref="AC74:AC77" si="143">IF(T74&gt;0,IF(Z74&gt;=$B$12,"OK","No Cumple"),"")</f>
        <v>OK</v>
      </c>
      <c r="AD74" s="147" t="str">
        <f t="shared" ref="AD74:AD77" si="144">IF(T74&gt;0,IF(AA74&gt;$B$14,"OK","No Cumple"),"")</f>
        <v>No Cumple</v>
      </c>
      <c r="AE74" s="148">
        <f t="shared" ref="AE74:AG77" si="145">+IF(AB74="OK",1,0)</f>
        <v>1</v>
      </c>
      <c r="AF74" s="148">
        <f t="shared" si="145"/>
        <v>1</v>
      </c>
      <c r="AG74" s="148">
        <f t="shared" si="145"/>
        <v>0</v>
      </c>
      <c r="AH74" s="148">
        <f t="shared" ref="AH74:AH77" si="146">SUM(AE74:AG74)</f>
        <v>2</v>
      </c>
      <c r="AI74" s="147">
        <f t="shared" ref="AI74:AI77" si="147">IF(AH74=3,2*$B$7+U74,0)</f>
        <v>0</v>
      </c>
      <c r="AJ74" s="149">
        <f>IF(AI74&gt;0,I74*VLOOKUP(T74,'$ alcantarillado'!$I$6:$K$22,3),0)</f>
        <v>0</v>
      </c>
      <c r="AK74" s="149">
        <f t="shared" si="136"/>
        <v>0</v>
      </c>
      <c r="AL74" s="149">
        <f t="shared" si="137"/>
        <v>0</v>
      </c>
      <c r="AM74" s="149">
        <f t="shared" si="22"/>
        <v>0</v>
      </c>
      <c r="AN74" s="180">
        <f>IF(AP53&gt;0,IF(AP181&gt;0,AP53+AP181,0),0)</f>
        <v>23146025.804000024</v>
      </c>
      <c r="AO74" s="161" t="str">
        <f t="shared" si="82"/>
        <v/>
      </c>
      <c r="AP74" s="226"/>
      <c r="AQ74" s="142"/>
      <c r="AR74" s="165"/>
    </row>
    <row r="75" spans="1:44" x14ac:dyDescent="0.25">
      <c r="A75" s="230"/>
      <c r="B75" s="230"/>
      <c r="C75" s="230"/>
      <c r="D75" s="230"/>
      <c r="E75" s="151">
        <v>3</v>
      </c>
      <c r="F75" s="190">
        <f>IF(H58&lt;H186,H58,H186)</f>
        <v>46.89</v>
      </c>
      <c r="G75" s="151">
        <v>1</v>
      </c>
      <c r="H75" s="142">
        <f t="shared" ref="H75:I76" si="148">+H74</f>
        <v>46.89</v>
      </c>
      <c r="I75" s="142">
        <f t="shared" si="148"/>
        <v>80</v>
      </c>
      <c r="J75" s="143">
        <f t="shared" si="9"/>
        <v>0</v>
      </c>
      <c r="K75" s="142">
        <f t="shared" ref="K75:K76" si="149">+K74</f>
        <v>1264</v>
      </c>
      <c r="L75" s="128">
        <f t="shared" si="10"/>
        <v>15.456099999999999</v>
      </c>
      <c r="M75" s="144">
        <f t="shared" si="138"/>
        <v>1.5456099999999999E-2</v>
      </c>
      <c r="N75" s="144">
        <f t="shared" si="0"/>
        <v>0</v>
      </c>
      <c r="O75" s="144">
        <f t="shared" si="1"/>
        <v>0</v>
      </c>
      <c r="P75" s="145">
        <f t="shared" si="12"/>
        <v>0</v>
      </c>
      <c r="Q75" s="113" t="str">
        <f>IF(O75&gt;0,VLOOKUP(P75,'$ alcantarillado'!$I$5:$L$22,4,FALSE),"0")</f>
        <v>0</v>
      </c>
      <c r="R75" s="113" t="str">
        <f t="shared" si="2"/>
        <v/>
      </c>
      <c r="S75" s="146">
        <f t="shared" si="3"/>
        <v>0</v>
      </c>
      <c r="T75" s="145">
        <f>+IF(S75&gt;$B$13,VLOOKUP(P75,'$ alcantarillado'!$I$6:$N$22,5),P75)</f>
        <v>0</v>
      </c>
      <c r="U75" s="113" t="str">
        <f>IF(O75&gt;0,VLOOKUP(T75,'$ alcantarillado'!$I$5:$L$22,4),"0")</f>
        <v>0</v>
      </c>
      <c r="V75" s="113" t="str">
        <f t="shared" si="4"/>
        <v/>
      </c>
      <c r="W75" s="146">
        <f t="shared" si="97"/>
        <v>0</v>
      </c>
      <c r="X75" s="146" t="str">
        <f t="shared" si="139"/>
        <v/>
      </c>
      <c r="Y75" s="113" t="str">
        <f>IF(T75&gt;0,(VLOOKUP($W75,Relaciones!$A$4:$D$108,2)),"")</f>
        <v/>
      </c>
      <c r="Z75" s="146" t="str">
        <f t="shared" si="140"/>
        <v/>
      </c>
      <c r="AA75" s="146" t="str">
        <f t="shared" si="141"/>
        <v/>
      </c>
      <c r="AB75" s="147" t="str">
        <f t="shared" si="142"/>
        <v/>
      </c>
      <c r="AC75" s="147" t="str">
        <f t="shared" si="143"/>
        <v/>
      </c>
      <c r="AD75" s="147" t="str">
        <f t="shared" si="144"/>
        <v/>
      </c>
      <c r="AE75" s="148">
        <f t="shared" si="145"/>
        <v>0</v>
      </c>
      <c r="AF75" s="148">
        <f t="shared" si="145"/>
        <v>0</v>
      </c>
      <c r="AG75" s="148">
        <f t="shared" si="145"/>
        <v>0</v>
      </c>
      <c r="AH75" s="148">
        <f t="shared" si="146"/>
        <v>0</v>
      </c>
      <c r="AI75" s="147">
        <f t="shared" si="147"/>
        <v>0</v>
      </c>
      <c r="AJ75" s="149">
        <f>IF(AI75&gt;0,I75*VLOOKUP(T75,'$ alcantarillado'!$I$6:$K$22,3),0)</f>
        <v>0</v>
      </c>
      <c r="AK75" s="149">
        <f t="shared" si="136"/>
        <v>0</v>
      </c>
      <c r="AL75" s="149">
        <f t="shared" si="137"/>
        <v>0</v>
      </c>
      <c r="AM75" s="149">
        <f t="shared" si="22"/>
        <v>0</v>
      </c>
      <c r="AN75" s="180">
        <f>IF(AP58&gt;0,IF(AP186&gt;0,AP58+AP186,0),0)</f>
        <v>23265455.804000024</v>
      </c>
      <c r="AO75" s="150" t="str">
        <f t="shared" si="82"/>
        <v/>
      </c>
      <c r="AP75" s="227"/>
      <c r="AQ75" s="142"/>
      <c r="AR75" s="165"/>
    </row>
    <row r="76" spans="1:44" x14ac:dyDescent="0.25">
      <c r="A76" s="230"/>
      <c r="B76" s="230"/>
      <c r="C76" s="230"/>
      <c r="D76" s="230"/>
      <c r="E76" s="151">
        <v>4</v>
      </c>
      <c r="F76" s="190">
        <f>IF(H63&lt;H191,H63,H191)</f>
        <v>46.765000000000001</v>
      </c>
      <c r="G76" s="151">
        <v>1</v>
      </c>
      <c r="H76" s="142">
        <f t="shared" si="148"/>
        <v>46.89</v>
      </c>
      <c r="I76" s="142">
        <f t="shared" si="148"/>
        <v>80</v>
      </c>
      <c r="J76" s="143">
        <f>+(F76-H76)/I76</f>
        <v>-1.5625000000000001E-3</v>
      </c>
      <c r="K76" s="142">
        <f t="shared" si="149"/>
        <v>1264</v>
      </c>
      <c r="L76" s="128">
        <f t="shared" si="10"/>
        <v>15.456099999999999</v>
      </c>
      <c r="M76" s="144">
        <f t="shared" si="138"/>
        <v>1.5456099999999999E-2</v>
      </c>
      <c r="N76" s="144">
        <f t="shared" si="0"/>
        <v>0</v>
      </c>
      <c r="O76" s="144">
        <f t="shared" si="1"/>
        <v>0</v>
      </c>
      <c r="P76" s="145">
        <f t="shared" si="12"/>
        <v>0</v>
      </c>
      <c r="Q76" s="113" t="str">
        <f>IF(O76&gt;0,VLOOKUP(P76,'$ alcantarillado'!$I$5:$L$22,4,FALSE),"0")</f>
        <v>0</v>
      </c>
      <c r="R76" s="113" t="str">
        <f t="shared" si="2"/>
        <v/>
      </c>
      <c r="S76" s="146">
        <f t="shared" si="3"/>
        <v>0</v>
      </c>
      <c r="T76" s="145">
        <f>+IF(S76&gt;$B$13,VLOOKUP(P76,'$ alcantarillado'!$I$6:$N$22,5),P76)</f>
        <v>0</v>
      </c>
      <c r="U76" s="113" t="str">
        <f>IF(O76&gt;0,VLOOKUP(T76,'$ alcantarillado'!$I$5:$L$22,4),"0")</f>
        <v>0</v>
      </c>
      <c r="V76" s="113" t="str">
        <f t="shared" si="4"/>
        <v/>
      </c>
      <c r="W76" s="146">
        <f t="shared" si="97"/>
        <v>0</v>
      </c>
      <c r="X76" s="146" t="str">
        <f t="shared" si="139"/>
        <v/>
      </c>
      <c r="Y76" s="113" t="str">
        <f>IF(T76&gt;0,(VLOOKUP($W76,Relaciones!$A$4:$D$108,2)),"")</f>
        <v/>
      </c>
      <c r="Z76" s="146" t="str">
        <f t="shared" si="140"/>
        <v/>
      </c>
      <c r="AA76" s="146" t="str">
        <f t="shared" si="141"/>
        <v/>
      </c>
      <c r="AB76" s="147" t="str">
        <f t="shared" si="142"/>
        <v/>
      </c>
      <c r="AC76" s="147" t="str">
        <f t="shared" si="143"/>
        <v/>
      </c>
      <c r="AD76" s="147" t="str">
        <f t="shared" si="144"/>
        <v/>
      </c>
      <c r="AE76" s="148">
        <f t="shared" si="145"/>
        <v>0</v>
      </c>
      <c r="AF76" s="148">
        <f t="shared" si="145"/>
        <v>0</v>
      </c>
      <c r="AG76" s="148">
        <f t="shared" si="145"/>
        <v>0</v>
      </c>
      <c r="AH76" s="148">
        <f t="shared" si="146"/>
        <v>0</v>
      </c>
      <c r="AI76" s="147">
        <f t="shared" si="147"/>
        <v>0</v>
      </c>
      <c r="AJ76" s="149">
        <f>IF(AI76&gt;0,I76*VLOOKUP(T76,'$ alcantarillado'!$I$6:$K$22,3),0)</f>
        <v>0</v>
      </c>
      <c r="AK76" s="149">
        <f t="shared" si="136"/>
        <v>0</v>
      </c>
      <c r="AL76" s="149">
        <f t="shared" si="137"/>
        <v>0</v>
      </c>
      <c r="AM76" s="149">
        <f t="shared" si="22"/>
        <v>0</v>
      </c>
      <c r="AN76" s="180">
        <f>IF(AP63&gt;0,IF(AP191&gt;0,AP63+AP191,0),0)</f>
        <v>23384885.804000027</v>
      </c>
      <c r="AO76" s="150" t="str">
        <f t="shared" si="82"/>
        <v/>
      </c>
      <c r="AP76" s="227"/>
      <c r="AQ76" s="142"/>
      <c r="AR76" s="165"/>
    </row>
    <row r="77" spans="1:44" ht="15.75" thickBot="1" x14ac:dyDescent="0.3">
      <c r="A77" s="230"/>
      <c r="B77" s="230"/>
      <c r="C77" s="230"/>
      <c r="D77" s="230"/>
      <c r="E77" s="152">
        <v>5</v>
      </c>
      <c r="F77" s="191">
        <f>IF(H68&lt;H196,H68,H196)</f>
        <v>46.64</v>
      </c>
      <c r="G77" s="152">
        <v>1</v>
      </c>
      <c r="H77" s="154">
        <f>+H76</f>
        <v>46.89</v>
      </c>
      <c r="I77" s="154">
        <f>+I76</f>
        <v>80</v>
      </c>
      <c r="J77" s="155">
        <f t="shared" si="9"/>
        <v>-3.1250000000000002E-3</v>
      </c>
      <c r="K77" s="154">
        <f>+K76</f>
        <v>1264</v>
      </c>
      <c r="L77" s="153">
        <f t="shared" si="10"/>
        <v>15.456099999999999</v>
      </c>
      <c r="M77" s="156">
        <f t="shared" si="138"/>
        <v>1.5456099999999999E-2</v>
      </c>
      <c r="N77" s="156">
        <f t="shared" si="0"/>
        <v>0</v>
      </c>
      <c r="O77" s="156">
        <f t="shared" si="1"/>
        <v>0</v>
      </c>
      <c r="P77" s="157">
        <f t="shared" si="12"/>
        <v>0</v>
      </c>
      <c r="Q77" s="113" t="str">
        <f>IF(O77&gt;0,VLOOKUP(P77,'$ alcantarillado'!$I$5:$L$22,4,FALSE),"0")</f>
        <v>0</v>
      </c>
      <c r="R77" s="113" t="str">
        <f t="shared" si="2"/>
        <v/>
      </c>
      <c r="S77" s="146">
        <f t="shared" si="3"/>
        <v>0</v>
      </c>
      <c r="T77" s="145">
        <f>+IF(S77&gt;$B$13,VLOOKUP(P77,'$ alcantarillado'!$I$6:$N$22,5),P77)</f>
        <v>0</v>
      </c>
      <c r="U77" s="113" t="str">
        <f>IF(O77&gt;0,VLOOKUP(T77,'$ alcantarillado'!$I$5:$L$22,4),"0")</f>
        <v>0</v>
      </c>
      <c r="V77" s="113" t="str">
        <f t="shared" si="4"/>
        <v/>
      </c>
      <c r="W77" s="146">
        <f t="shared" si="97"/>
        <v>0</v>
      </c>
      <c r="X77" s="146" t="str">
        <f t="shared" si="139"/>
        <v/>
      </c>
      <c r="Y77" s="113" t="str">
        <f>IF(T77&gt;0,(VLOOKUP($W77,Relaciones!$A$4:$D$108,2)),"")</f>
        <v/>
      </c>
      <c r="Z77" s="146" t="str">
        <f t="shared" si="140"/>
        <v/>
      </c>
      <c r="AA77" s="146" t="str">
        <f t="shared" si="141"/>
        <v/>
      </c>
      <c r="AB77" s="147" t="str">
        <f t="shared" si="142"/>
        <v/>
      </c>
      <c r="AC77" s="147" t="str">
        <f t="shared" si="143"/>
        <v/>
      </c>
      <c r="AD77" s="147" t="str">
        <f t="shared" si="144"/>
        <v/>
      </c>
      <c r="AE77" s="148">
        <f t="shared" si="145"/>
        <v>0</v>
      </c>
      <c r="AF77" s="148">
        <f t="shared" si="145"/>
        <v>0</v>
      </c>
      <c r="AG77" s="148">
        <f t="shared" si="145"/>
        <v>0</v>
      </c>
      <c r="AH77" s="148">
        <f t="shared" si="146"/>
        <v>0</v>
      </c>
      <c r="AI77" s="147">
        <f t="shared" si="147"/>
        <v>0</v>
      </c>
      <c r="AJ77" s="158">
        <f>IF(AI77&gt;0,I77*VLOOKUP(T77,'$ alcantarillado'!$I$6:$K$22,3),0)</f>
        <v>0</v>
      </c>
      <c r="AK77" s="149">
        <f t="shared" si="136"/>
        <v>0</v>
      </c>
      <c r="AL77" s="149">
        <f t="shared" si="137"/>
        <v>0</v>
      </c>
      <c r="AM77" s="158">
        <f t="shared" si="22"/>
        <v>0</v>
      </c>
      <c r="AN77" s="181">
        <f>IF(AP68&gt;0,IF(AP196&gt;0,AP68+AP196,0),0)</f>
        <v>22514139.33366669</v>
      </c>
      <c r="AO77" s="159" t="str">
        <f t="shared" si="82"/>
        <v/>
      </c>
      <c r="AP77" s="228"/>
      <c r="AQ77" s="154"/>
      <c r="AR77" s="166"/>
    </row>
    <row r="78" spans="1:44" x14ac:dyDescent="0.25">
      <c r="A78" s="230"/>
      <c r="B78" s="230"/>
      <c r="C78" s="230"/>
      <c r="D78" s="230"/>
      <c r="E78" s="127">
        <v>1</v>
      </c>
      <c r="F78" s="189">
        <f>IF(H49&lt;H177,H49,H177)</f>
        <v>47.14</v>
      </c>
      <c r="G78" s="127">
        <v>2</v>
      </c>
      <c r="H78" s="146">
        <f>+H83+$B$15</f>
        <v>46.765000000000001</v>
      </c>
      <c r="I78" s="142">
        <f>+I77</f>
        <v>80</v>
      </c>
      <c r="J78" s="143">
        <f>+(F78-H78)/I78</f>
        <v>4.6874999999999998E-3</v>
      </c>
      <c r="K78" s="142">
        <f>+K77</f>
        <v>1264</v>
      </c>
      <c r="L78" s="132">
        <f>IF(K78&lt;38,K78^0.3686*0.7401,IF(K78&lt;235,K78^0.4193*0.6215,IF(K78&lt;932,K78*0.0092+4.2493,K78*0.0069+6.7345)))</f>
        <v>15.456099999999999</v>
      </c>
      <c r="M78" s="133">
        <f>+L78/1000</f>
        <v>1.5456099999999999E-2</v>
      </c>
      <c r="N78" s="133">
        <f t="shared" si="0"/>
        <v>0.15756772760132909</v>
      </c>
      <c r="O78" s="133">
        <f t="shared" si="1"/>
        <v>6.2034538425720118</v>
      </c>
      <c r="P78" s="134">
        <f t="shared" si="12"/>
        <v>8</v>
      </c>
      <c r="Q78" s="135">
        <f>IF(O78&gt;0,VLOOKUP(P78,'$ alcantarillado'!$I$5:$L$22,4,FALSE),"0")</f>
        <v>0.182</v>
      </c>
      <c r="R78" s="135">
        <f t="shared" si="2"/>
        <v>2.2700960280449212E-2</v>
      </c>
      <c r="S78" s="136">
        <f t="shared" si="3"/>
        <v>0.68085666020530788</v>
      </c>
      <c r="T78" s="134">
        <f>+IF(S78&gt;$B$13,VLOOKUP(P78,'$ alcantarillado'!$I$6:$N$22,5),P78)</f>
        <v>8</v>
      </c>
      <c r="U78" s="135">
        <f>IF(O78&gt;0,VLOOKUP(T78,'$ alcantarillado'!$I$5:$L$22,4),"0")</f>
        <v>0.182</v>
      </c>
      <c r="V78" s="135">
        <f t="shared" si="4"/>
        <v>2.2700960280449212E-2</v>
      </c>
      <c r="W78" s="136">
        <f t="shared" si="97"/>
        <v>0.68085666020530788</v>
      </c>
      <c r="X78" s="136">
        <f>IF(T78&gt;0,4*V78/(PI()*(U78)^2),"")</f>
        <v>0.87259269208218104</v>
      </c>
      <c r="Y78" s="135">
        <f>IF(T78&gt;0,(VLOOKUP($W78,Relaciones!$A$4:$D$108,2)),"")</f>
        <v>0.93600000000000005</v>
      </c>
      <c r="Z78" s="136">
        <f>IF(T78&gt;0,Y78*X78,"")</f>
        <v>0.81674675978892153</v>
      </c>
      <c r="AA78" s="136">
        <f>IF(T78&gt;0,250*U78*J78,"")</f>
        <v>0.21328125000000001</v>
      </c>
      <c r="AB78" s="137" t="str">
        <f>IF(T78&gt;0,IF(W78&lt;=$B$13,"OK","No Cumple"),"")</f>
        <v>OK</v>
      </c>
      <c r="AC78" s="137" t="str">
        <f>IF(T78&gt;0,IF(Z78&gt;=$B$12,"OK","No Cumple"),"")</f>
        <v>OK</v>
      </c>
      <c r="AD78" s="137" t="str">
        <f>IF(T78&gt;0,IF(AA78&gt;$B$14,"OK","No Cumple"),"")</f>
        <v>OK</v>
      </c>
      <c r="AE78" s="138">
        <f>+IF(AB78="OK",1,0)</f>
        <v>1</v>
      </c>
      <c r="AF78" s="138">
        <f>+IF(AC78="OK",1,0)</f>
        <v>1</v>
      </c>
      <c r="AG78" s="138">
        <f>+IF(AD78="OK",1,0)</f>
        <v>1</v>
      </c>
      <c r="AH78" s="138">
        <f>SUM(AE78:AG78)</f>
        <v>3</v>
      </c>
      <c r="AI78" s="137">
        <f>IF(AH78=3,2*$B$7+U78,0)</f>
        <v>0.68199999999999994</v>
      </c>
      <c r="AJ78" s="139">
        <f>IF(AI78&gt;0,I78*VLOOKUP(T78,'$ alcantarillado'!$I$6:$K$22,3),0)</f>
        <v>2654586.666666667</v>
      </c>
      <c r="AK78" s="139">
        <f t="shared" si="136"/>
        <v>3324831.8400000031</v>
      </c>
      <c r="AL78" s="139">
        <f t="shared" si="137"/>
        <v>1488095.4920000019</v>
      </c>
      <c r="AM78" s="139">
        <f>IF(AJ78&gt;0,AJ78+AK78+AL78,0)</f>
        <v>7467513.998666672</v>
      </c>
      <c r="AN78" s="179">
        <f>IF(AP48&gt;0,IF(AP176&gt;0,AP48+AP176,0),0)</f>
        <v>0</v>
      </c>
      <c r="AO78" s="140" t="str">
        <f>IF((AM78)&gt;0,IF(AN78&gt;0,AM78+AN78,""),"")</f>
        <v/>
      </c>
      <c r="AP78" s="232">
        <f>+MIN(AO78:AO82)</f>
        <v>0</v>
      </c>
      <c r="AQ78" s="142"/>
      <c r="AR78" s="165"/>
    </row>
    <row r="79" spans="1:44" x14ac:dyDescent="0.25">
      <c r="A79" s="230"/>
      <c r="B79" s="230"/>
      <c r="C79" s="230"/>
      <c r="D79" s="230"/>
      <c r="E79" s="141">
        <v>2</v>
      </c>
      <c r="F79" s="190">
        <f>IF(H54&lt;H182,H54,H182)</f>
        <v>47.015000000000001</v>
      </c>
      <c r="G79" s="141">
        <v>2</v>
      </c>
      <c r="H79" s="146">
        <f>+H78</f>
        <v>46.765000000000001</v>
      </c>
      <c r="I79" s="142">
        <f>+I78</f>
        <v>80</v>
      </c>
      <c r="J79" s="143">
        <f t="shared" si="9"/>
        <v>3.1250000000000002E-3</v>
      </c>
      <c r="K79" s="142">
        <f>+K78</f>
        <v>1264</v>
      </c>
      <c r="L79" s="128">
        <f t="shared" si="10"/>
        <v>15.456099999999999</v>
      </c>
      <c r="M79" s="144">
        <f t="shared" ref="M79:M82" si="150">+L79/1000</f>
        <v>1.5456099999999999E-2</v>
      </c>
      <c r="N79" s="144">
        <f t="shared" si="0"/>
        <v>0.17001388158888045</v>
      </c>
      <c r="O79" s="144">
        <f t="shared" si="1"/>
        <v>6.6934599050740333</v>
      </c>
      <c r="P79" s="145">
        <f t="shared" si="12"/>
        <v>8</v>
      </c>
      <c r="Q79" s="113">
        <f>IF(O79&gt;0,VLOOKUP(P79,'$ alcantarillado'!$I$5:$L$22,4,FALSE),"0")</f>
        <v>0.182</v>
      </c>
      <c r="R79" s="113">
        <f t="shared" si="2"/>
        <v>1.8535256452762897E-2</v>
      </c>
      <c r="S79" s="146">
        <f t="shared" si="3"/>
        <v>0.83387570273925649</v>
      </c>
      <c r="T79" s="145">
        <f>+IF(S79&gt;$B$13,VLOOKUP(P79,'$ alcantarillado'!$I$6:$N$22,5),P79)</f>
        <v>8</v>
      </c>
      <c r="U79" s="113">
        <f>IF(O79&gt;0,VLOOKUP(T79,'$ alcantarillado'!$I$5:$L$22,4),"0")</f>
        <v>0.182</v>
      </c>
      <c r="V79" s="113">
        <f t="shared" si="4"/>
        <v>1.8535256452762897E-2</v>
      </c>
      <c r="W79" s="146">
        <f t="shared" si="97"/>
        <v>0.83387570273925649</v>
      </c>
      <c r="X79" s="146">
        <f t="shared" ref="X79:X82" si="151">IF(T79&gt;0,4*V79/(PI()*(U79)^2),"")</f>
        <v>0.71246894962762097</v>
      </c>
      <c r="Y79" s="113">
        <f>IF(T79&gt;0,(VLOOKUP($W79,Relaciones!$A$4:$D$108,2)),"")</f>
        <v>0.99299999999999999</v>
      </c>
      <c r="Z79" s="146">
        <f t="shared" ref="Z79:Z82" si="152">IF(T79&gt;0,Y79*X79,"")</f>
        <v>0.70748166698022763</v>
      </c>
      <c r="AA79" s="146">
        <f t="shared" ref="AA79:AA82" si="153">IF(T79&gt;0,250*U79*J79,"")</f>
        <v>0.14218749999999999</v>
      </c>
      <c r="AB79" s="147" t="str">
        <f t="shared" ref="AB79:AB82" si="154">IF(T79&gt;0,IF(W79&lt;=$B$13,"OK","No Cumple"),"")</f>
        <v>OK</v>
      </c>
      <c r="AC79" s="147" t="str">
        <f t="shared" ref="AC79:AC82" si="155">IF(T79&gt;0,IF(Z79&gt;=$B$12,"OK","No Cumple"),"")</f>
        <v>OK</v>
      </c>
      <c r="AD79" s="147" t="str">
        <f t="shared" ref="AD79:AD82" si="156">IF(T79&gt;0,IF(AA79&gt;$B$14,"OK","No Cumple"),"")</f>
        <v>No Cumple</v>
      </c>
      <c r="AE79" s="148">
        <f t="shared" ref="AE79:AG82" si="157">+IF(AB79="OK",1,0)</f>
        <v>1</v>
      </c>
      <c r="AF79" s="148">
        <f t="shared" si="157"/>
        <v>1</v>
      </c>
      <c r="AG79" s="148">
        <f t="shared" si="157"/>
        <v>0</v>
      </c>
      <c r="AH79" s="148">
        <f t="shared" ref="AH79:AH82" si="158">SUM(AE79:AG79)</f>
        <v>2</v>
      </c>
      <c r="AI79" s="147">
        <f t="shared" ref="AI79:AI82" si="159">IF(AH79=3,2*$B$7+U79,0)</f>
        <v>0</v>
      </c>
      <c r="AJ79" s="149">
        <f>IF(AI79&gt;0,I79*VLOOKUP(T79,'$ alcantarillado'!$I$6:$K$22,3),0)</f>
        <v>0</v>
      </c>
      <c r="AK79" s="149">
        <f t="shared" si="136"/>
        <v>0</v>
      </c>
      <c r="AL79" s="149">
        <f t="shared" si="137"/>
        <v>0</v>
      </c>
      <c r="AM79" s="149">
        <f t="shared" si="22"/>
        <v>0</v>
      </c>
      <c r="AN79" s="180">
        <f>IF(AP53&gt;0,IF(AP181&gt;0,AP53+AP181,0),0)</f>
        <v>23146025.804000024</v>
      </c>
      <c r="AO79" s="150" t="str">
        <f t="shared" si="82"/>
        <v/>
      </c>
      <c r="AP79" s="218"/>
      <c r="AQ79" s="142"/>
      <c r="AR79" s="165"/>
    </row>
    <row r="80" spans="1:44" x14ac:dyDescent="0.25">
      <c r="A80" s="230"/>
      <c r="B80" s="230"/>
      <c r="C80" s="230"/>
      <c r="D80" s="230"/>
      <c r="E80" s="151">
        <v>3</v>
      </c>
      <c r="F80" s="190">
        <f>IF(H59&lt;H187,H59,H187)</f>
        <v>46.89</v>
      </c>
      <c r="G80" s="151">
        <v>2</v>
      </c>
      <c r="H80" s="146">
        <f t="shared" ref="H80:I81" si="160">+H79</f>
        <v>46.765000000000001</v>
      </c>
      <c r="I80" s="142">
        <f t="shared" si="160"/>
        <v>80</v>
      </c>
      <c r="J80" s="143">
        <f t="shared" si="9"/>
        <v>1.5625000000000001E-3</v>
      </c>
      <c r="K80" s="142">
        <f t="shared" ref="K80:K81" si="161">+K79</f>
        <v>1264</v>
      </c>
      <c r="L80" s="128">
        <f t="shared" si="10"/>
        <v>15.456099999999999</v>
      </c>
      <c r="M80" s="144">
        <f t="shared" si="150"/>
        <v>1.5456099999999999E-2</v>
      </c>
      <c r="N80" s="144">
        <f t="shared" si="0"/>
        <v>0.19360987610428701</v>
      </c>
      <c r="O80" s="144">
        <f t="shared" si="1"/>
        <v>7.6224360670979143</v>
      </c>
      <c r="P80" s="145">
        <f t="shared" si="12"/>
        <v>8</v>
      </c>
      <c r="Q80" s="113">
        <f>IF(O80&gt;0,VLOOKUP(P80,'$ alcantarillado'!$I$5:$L$22,4,FALSE),"0")</f>
        <v>0.182</v>
      </c>
      <c r="R80" s="113">
        <f t="shared" si="2"/>
        <v>1.3106405528780356E-2</v>
      </c>
      <c r="S80" s="146">
        <f t="shared" si="3"/>
        <v>1.1792783281472521</v>
      </c>
      <c r="T80" s="145">
        <f>+IF(S80&gt;$B$13,VLOOKUP(P80,'$ alcantarillado'!$I$6:$N$22,5),P80)</f>
        <v>10</v>
      </c>
      <c r="U80" s="113">
        <f>IF(O80&gt;0,VLOOKUP(T80,'$ alcantarillado'!$I$5:$L$22,4),"0")</f>
        <v>0.22700000000000001</v>
      </c>
      <c r="V80" s="113">
        <f t="shared" si="4"/>
        <v>2.3624476083504924E-2</v>
      </c>
      <c r="W80" s="146">
        <f t="shared" si="97"/>
        <v>0.65424096370931817</v>
      </c>
      <c r="X80" s="146">
        <f t="shared" si="151"/>
        <v>0.5837415275508655</v>
      </c>
      <c r="Y80" s="113">
        <f>IF(T80&gt;0,(VLOOKUP($W80,Relaciones!$A$4:$D$108,2)),"")</f>
        <v>0.92200000000000004</v>
      </c>
      <c r="Z80" s="146">
        <f t="shared" si="152"/>
        <v>0.53820968840189798</v>
      </c>
      <c r="AA80" s="146">
        <f t="shared" si="153"/>
        <v>8.8671875000000011E-2</v>
      </c>
      <c r="AB80" s="147" t="str">
        <f t="shared" si="154"/>
        <v>OK</v>
      </c>
      <c r="AC80" s="147" t="str">
        <f t="shared" si="155"/>
        <v>OK</v>
      </c>
      <c r="AD80" s="147" t="str">
        <f t="shared" si="156"/>
        <v>No Cumple</v>
      </c>
      <c r="AE80" s="148">
        <f t="shared" si="157"/>
        <v>1</v>
      </c>
      <c r="AF80" s="148">
        <f t="shared" si="157"/>
        <v>1</v>
      </c>
      <c r="AG80" s="148">
        <f t="shared" si="157"/>
        <v>0</v>
      </c>
      <c r="AH80" s="148">
        <f t="shared" si="158"/>
        <v>2</v>
      </c>
      <c r="AI80" s="147">
        <f t="shared" si="159"/>
        <v>0</v>
      </c>
      <c r="AJ80" s="149">
        <f>IF(AI80&gt;0,I80*VLOOKUP(T80,'$ alcantarillado'!$I$6:$K$22,3),0)</f>
        <v>0</v>
      </c>
      <c r="AK80" s="149">
        <f t="shared" si="136"/>
        <v>0</v>
      </c>
      <c r="AL80" s="149">
        <f t="shared" si="137"/>
        <v>0</v>
      </c>
      <c r="AM80" s="149">
        <f t="shared" si="22"/>
        <v>0</v>
      </c>
      <c r="AN80" s="180">
        <f>IF(AP58&gt;0,IF(AP186&gt;0,AP58+AP186,0),0)</f>
        <v>23265455.804000024</v>
      </c>
      <c r="AO80" s="150" t="str">
        <f>IF((AM80)&gt;0,IF(AN80&gt;0,AM80+AN80,""),"")</f>
        <v/>
      </c>
      <c r="AP80" s="219"/>
      <c r="AQ80" s="142"/>
      <c r="AR80" s="165"/>
    </row>
    <row r="81" spans="1:44" x14ac:dyDescent="0.25">
      <c r="A81" s="230"/>
      <c r="B81" s="230"/>
      <c r="C81" s="230"/>
      <c r="D81" s="230"/>
      <c r="E81" s="151">
        <v>4</v>
      </c>
      <c r="F81" s="190">
        <f>IF(H64&lt;H192,H64,H192)</f>
        <v>46.765000000000001</v>
      </c>
      <c r="G81" s="151">
        <v>2</v>
      </c>
      <c r="H81" s="146">
        <f t="shared" si="160"/>
        <v>46.765000000000001</v>
      </c>
      <c r="I81" s="142">
        <f t="shared" si="160"/>
        <v>80</v>
      </c>
      <c r="J81" s="143">
        <f>+(F81-H81)/I81</f>
        <v>0</v>
      </c>
      <c r="K81" s="142">
        <f t="shared" si="161"/>
        <v>1264</v>
      </c>
      <c r="L81" s="128">
        <f t="shared" si="10"/>
        <v>15.456099999999999</v>
      </c>
      <c r="M81" s="144">
        <f t="shared" si="150"/>
        <v>1.5456099999999999E-2</v>
      </c>
      <c r="N81" s="144">
        <f t="shared" si="0"/>
        <v>0</v>
      </c>
      <c r="O81" s="144">
        <f t="shared" si="1"/>
        <v>0</v>
      </c>
      <c r="P81" s="145">
        <f t="shared" si="12"/>
        <v>0</v>
      </c>
      <c r="Q81" s="113" t="str">
        <f>IF(O81&gt;0,VLOOKUP(P81,'$ alcantarillado'!$I$5:$L$22,4,FALSE),"0")</f>
        <v>0</v>
      </c>
      <c r="R81" s="113" t="str">
        <f t="shared" si="2"/>
        <v/>
      </c>
      <c r="S81" s="146">
        <f t="shared" si="3"/>
        <v>0</v>
      </c>
      <c r="T81" s="145">
        <f>+IF(S81&gt;$B$13,VLOOKUP(P81,'$ alcantarillado'!$I$6:$N$22,5),P81)</f>
        <v>0</v>
      </c>
      <c r="U81" s="113" t="str">
        <f>IF(O81&gt;0,VLOOKUP(T81,'$ alcantarillado'!$I$5:$L$22,4),"0")</f>
        <v>0</v>
      </c>
      <c r="V81" s="113" t="str">
        <f t="shared" si="4"/>
        <v/>
      </c>
      <c r="W81" s="146">
        <f t="shared" si="97"/>
        <v>0</v>
      </c>
      <c r="X81" s="146" t="str">
        <f t="shared" si="151"/>
        <v/>
      </c>
      <c r="Y81" s="113" t="str">
        <f>IF(T81&gt;0,(VLOOKUP($W81,Relaciones!$A$4:$D$108,2)),"")</f>
        <v/>
      </c>
      <c r="Z81" s="146" t="str">
        <f t="shared" si="152"/>
        <v/>
      </c>
      <c r="AA81" s="146" t="str">
        <f t="shared" si="153"/>
        <v/>
      </c>
      <c r="AB81" s="147" t="str">
        <f t="shared" si="154"/>
        <v/>
      </c>
      <c r="AC81" s="147" t="str">
        <f t="shared" si="155"/>
        <v/>
      </c>
      <c r="AD81" s="147" t="str">
        <f t="shared" si="156"/>
        <v/>
      </c>
      <c r="AE81" s="148">
        <f t="shared" si="157"/>
        <v>0</v>
      </c>
      <c r="AF81" s="148">
        <f t="shared" si="157"/>
        <v>0</v>
      </c>
      <c r="AG81" s="148">
        <f t="shared" si="157"/>
        <v>0</v>
      </c>
      <c r="AH81" s="148">
        <f t="shared" si="158"/>
        <v>0</v>
      </c>
      <c r="AI81" s="147">
        <f t="shared" si="159"/>
        <v>0</v>
      </c>
      <c r="AJ81" s="149">
        <f>IF(AI81&gt;0,I81*VLOOKUP(T81,'$ alcantarillado'!$I$6:$K$22,3),0)</f>
        <v>0</v>
      </c>
      <c r="AK81" s="149">
        <f t="shared" si="136"/>
        <v>0</v>
      </c>
      <c r="AL81" s="149">
        <f t="shared" si="137"/>
        <v>0</v>
      </c>
      <c r="AM81" s="149">
        <f t="shared" si="22"/>
        <v>0</v>
      </c>
      <c r="AN81" s="180">
        <f>IF(AP63&gt;0,IF(AP191&gt;0,AP63+AP191,0),0)</f>
        <v>23384885.804000027</v>
      </c>
      <c r="AO81" s="150" t="str">
        <f t="shared" si="82"/>
        <v/>
      </c>
      <c r="AP81" s="219"/>
      <c r="AQ81" s="142"/>
      <c r="AR81" s="165"/>
    </row>
    <row r="82" spans="1:44" ht="15.75" thickBot="1" x14ac:dyDescent="0.3">
      <c r="A82" s="230"/>
      <c r="B82" s="230"/>
      <c r="C82" s="230"/>
      <c r="D82" s="230"/>
      <c r="E82" s="152">
        <v>5</v>
      </c>
      <c r="F82" s="191">
        <f>IF(H69&lt;H197,H69,H197)</f>
        <v>46.64</v>
      </c>
      <c r="G82" s="152">
        <v>2</v>
      </c>
      <c r="H82" s="169">
        <f>+H81</f>
        <v>46.765000000000001</v>
      </c>
      <c r="I82" s="154">
        <f>+I81</f>
        <v>80</v>
      </c>
      <c r="J82" s="155">
        <f t="shared" si="9"/>
        <v>-1.5625000000000001E-3</v>
      </c>
      <c r="K82" s="154">
        <f>+K81</f>
        <v>1264</v>
      </c>
      <c r="L82" s="153">
        <f t="shared" si="10"/>
        <v>15.456099999999999</v>
      </c>
      <c r="M82" s="156">
        <f t="shared" si="150"/>
        <v>1.5456099999999999E-2</v>
      </c>
      <c r="N82" s="156">
        <f t="shared" si="0"/>
        <v>0</v>
      </c>
      <c r="O82" s="156">
        <f t="shared" si="1"/>
        <v>0</v>
      </c>
      <c r="P82" s="157">
        <f t="shared" si="12"/>
        <v>0</v>
      </c>
      <c r="Q82" s="113" t="str">
        <f>IF(O82&gt;0,VLOOKUP(P82,'$ alcantarillado'!$I$5:$L$22,4,FALSE),"0")</f>
        <v>0</v>
      </c>
      <c r="R82" s="160" t="str">
        <f t="shared" si="2"/>
        <v/>
      </c>
      <c r="S82" s="146">
        <f t="shared" si="3"/>
        <v>0</v>
      </c>
      <c r="T82" s="145">
        <f>+IF(S82&gt;$B$13,VLOOKUP(P82,'$ alcantarillado'!$I$6:$N$22,5),P82)</f>
        <v>0</v>
      </c>
      <c r="U82" s="113" t="str">
        <f>IF(O82&gt;0,VLOOKUP(T82,'$ alcantarillado'!$I$5:$L$22,4),"0")</f>
        <v>0</v>
      </c>
      <c r="V82" s="113" t="str">
        <f t="shared" si="4"/>
        <v/>
      </c>
      <c r="W82" s="146">
        <f t="shared" si="97"/>
        <v>0</v>
      </c>
      <c r="X82" s="146" t="str">
        <f t="shared" si="151"/>
        <v/>
      </c>
      <c r="Y82" s="113" t="str">
        <f>IF(T82&gt;0,(VLOOKUP($W82,Relaciones!$A$4:$D$108,2)),"")</f>
        <v/>
      </c>
      <c r="Z82" s="146" t="str">
        <f t="shared" si="152"/>
        <v/>
      </c>
      <c r="AA82" s="146" t="str">
        <f t="shared" si="153"/>
        <v/>
      </c>
      <c r="AB82" s="147" t="str">
        <f t="shared" si="154"/>
        <v/>
      </c>
      <c r="AC82" s="147" t="str">
        <f t="shared" si="155"/>
        <v/>
      </c>
      <c r="AD82" s="147" t="str">
        <f t="shared" si="156"/>
        <v/>
      </c>
      <c r="AE82" s="148">
        <f t="shared" si="157"/>
        <v>0</v>
      </c>
      <c r="AF82" s="148">
        <f t="shared" si="157"/>
        <v>0</v>
      </c>
      <c r="AG82" s="148">
        <f t="shared" si="157"/>
        <v>0</v>
      </c>
      <c r="AH82" s="148">
        <f t="shared" si="158"/>
        <v>0</v>
      </c>
      <c r="AI82" s="147">
        <f t="shared" si="159"/>
        <v>0</v>
      </c>
      <c r="AJ82" s="158">
        <f>IF(AI82&gt;0,I82*VLOOKUP(T82,'$ alcantarillado'!$I$6:$K$22,3),0)</f>
        <v>0</v>
      </c>
      <c r="AK82" s="149">
        <f t="shared" si="136"/>
        <v>0</v>
      </c>
      <c r="AL82" s="149">
        <f t="shared" si="137"/>
        <v>0</v>
      </c>
      <c r="AM82" s="158">
        <f t="shared" si="22"/>
        <v>0</v>
      </c>
      <c r="AN82" s="181">
        <f>IF(AP68&gt;0,IF(AP196&gt;0,AP68+AP196,0),0)</f>
        <v>22514139.33366669</v>
      </c>
      <c r="AO82" s="159" t="str">
        <f t="shared" si="82"/>
        <v/>
      </c>
      <c r="AP82" s="220"/>
      <c r="AQ82" s="154"/>
      <c r="AR82" s="166"/>
    </row>
    <row r="83" spans="1:44" x14ac:dyDescent="0.25">
      <c r="A83" s="230"/>
      <c r="B83" s="230"/>
      <c r="C83" s="230"/>
      <c r="D83" s="230"/>
      <c r="E83" s="127">
        <v>1</v>
      </c>
      <c r="F83" s="189">
        <f>IF(H50&lt;H178,H50,H178)</f>
        <v>47.14</v>
      </c>
      <c r="G83" s="127">
        <v>3</v>
      </c>
      <c r="H83" s="136">
        <f>+'LOGIKA AN-2'!H74</f>
        <v>46.64</v>
      </c>
      <c r="I83" s="129">
        <f t="shared" ref="I83" si="162">+I82</f>
        <v>80</v>
      </c>
      <c r="J83" s="143">
        <f>+(F83-H83)/I83</f>
        <v>6.2500000000000003E-3</v>
      </c>
      <c r="K83" s="129">
        <f t="shared" ref="K83" si="163">+K82</f>
        <v>1264</v>
      </c>
      <c r="L83" s="132">
        <f>IF(K83&lt;38,K83^0.3686*0.7401,IF(K83&lt;235,K83^0.4193*0.6215,IF(K83&lt;932,K83*0.0092+4.2493,K83*0.0069+6.7345)))</f>
        <v>15.456099999999999</v>
      </c>
      <c r="M83" s="133">
        <f>+L83/1000</f>
        <v>1.5456099999999999E-2</v>
      </c>
      <c r="N83" s="133">
        <f t="shared" si="0"/>
        <v>0.14929362341696081</v>
      </c>
      <c r="O83" s="133">
        <f t="shared" si="1"/>
        <v>5.8777017093291661</v>
      </c>
      <c r="P83" s="134">
        <f t="shared" si="12"/>
        <v>6</v>
      </c>
      <c r="Q83" s="135">
        <f>IF(O83&gt;0,VLOOKUP(P83,'$ alcantarillado'!$I$5:$L$22,4,FALSE),"0")</f>
        <v>0.14499999999999999</v>
      </c>
      <c r="R83" s="135">
        <f t="shared" si="2"/>
        <v>1.4298963858198607E-2</v>
      </c>
      <c r="S83" s="136">
        <f t="shared" si="3"/>
        <v>1.0809244748973839</v>
      </c>
      <c r="T83" s="134">
        <f>+IF(S83&gt;$B$13,VLOOKUP(P83,'$ alcantarillado'!$I$6:$N$22,5),P83)</f>
        <v>8</v>
      </c>
      <c r="U83" s="135">
        <f>IF(O83&gt;0,VLOOKUP(T83,'$ alcantarillado'!$I$5:$L$22,4),"0")</f>
        <v>0.182</v>
      </c>
      <c r="V83" s="135">
        <f t="shared" si="4"/>
        <v>2.6212811057560712E-2</v>
      </c>
      <c r="W83" s="136">
        <f t="shared" si="97"/>
        <v>0.58963916407362604</v>
      </c>
      <c r="X83" s="136">
        <f>IF(T83&gt;0,4*V83/(PI()*(U83)^2),"")</f>
        <v>1.0075832513330949</v>
      </c>
      <c r="Y83" s="135">
        <f>IF(T83&gt;0,(VLOOKUP($W83,Relaciones!$A$4:$D$108,2)),"")</f>
        <v>0.89</v>
      </c>
      <c r="Z83" s="136">
        <f>IF(T83&gt;0,Y83*X83,"")</f>
        <v>0.8967490936864545</v>
      </c>
      <c r="AA83" s="136">
        <f>IF(T83&gt;0,250*U83*J83,"")</f>
        <v>0.28437499999999999</v>
      </c>
      <c r="AB83" s="137" t="str">
        <f>IF(T83&gt;0,IF(W83&lt;=$B$13,"OK","No Cumple"),"")</f>
        <v>OK</v>
      </c>
      <c r="AC83" s="137" t="str">
        <f>IF(T83&gt;0,IF(Z83&gt;=$B$12,"OK","No Cumple"),"")</f>
        <v>OK</v>
      </c>
      <c r="AD83" s="137" t="str">
        <f>IF(T83&gt;0,IF(AA83&gt;$B$14,"OK","No Cumple"),"")</f>
        <v>OK</v>
      </c>
      <c r="AE83" s="138">
        <f>+IF(AB83="OK",1,0)</f>
        <v>1</v>
      </c>
      <c r="AF83" s="138">
        <f>+IF(AC83="OK",1,0)</f>
        <v>1</v>
      </c>
      <c r="AG83" s="138">
        <f>+IF(AD83="OK",1,0)</f>
        <v>1</v>
      </c>
      <c r="AH83" s="138">
        <f>SUM(AE83:AG83)</f>
        <v>3</v>
      </c>
      <c r="AI83" s="137">
        <f>IF(AH83=3,2*$B$7+U83,0)</f>
        <v>0.68199999999999994</v>
      </c>
      <c r="AJ83" s="139">
        <f>IF(AI83&gt;0,I83*VLOOKUP(T83,'$ alcantarillado'!$I$6:$K$22,3),0)</f>
        <v>2654586.666666667</v>
      </c>
      <c r="AK83" s="139">
        <f t="shared" si="136"/>
        <v>3386211.8400000036</v>
      </c>
      <c r="AL83" s="139">
        <f t="shared" si="137"/>
        <v>1488095.4920000019</v>
      </c>
      <c r="AM83" s="139">
        <f>IF(AJ83&gt;0,AJ83+AK83+AL83,0)</f>
        <v>7528893.998666672</v>
      </c>
      <c r="AN83" s="180">
        <f>IF(AP48&gt;0,IF(AP176&gt;0,AP48+AP176,0),0)</f>
        <v>0</v>
      </c>
      <c r="AO83" s="140" t="str">
        <f>IF((AM83)&gt;0,IF(AN83&gt;0,AM83+AN83,""),"")</f>
        <v/>
      </c>
      <c r="AP83" s="225">
        <f>+MIN(AO83:AO87)</f>
        <v>30884927.427666694</v>
      </c>
      <c r="AQ83" s="129"/>
      <c r="AR83" s="163"/>
    </row>
    <row r="84" spans="1:44" x14ac:dyDescent="0.25">
      <c r="A84" s="230"/>
      <c r="B84" s="230"/>
      <c r="C84" s="230"/>
      <c r="D84" s="230"/>
      <c r="E84" s="141">
        <v>2</v>
      </c>
      <c r="F84" s="190">
        <f>IF(H55&lt;H183,H55,H183)</f>
        <v>47.015000000000001</v>
      </c>
      <c r="G84" s="141">
        <v>3</v>
      </c>
      <c r="H84" s="142">
        <f>+H83</f>
        <v>46.64</v>
      </c>
      <c r="I84" s="142">
        <f>+I83</f>
        <v>80</v>
      </c>
      <c r="J84" s="143">
        <f t="shared" si="9"/>
        <v>4.6874999999999998E-3</v>
      </c>
      <c r="K84" s="142">
        <f>+K83</f>
        <v>1264</v>
      </c>
      <c r="L84" s="128">
        <f t="shared" si="10"/>
        <v>15.456099999999999</v>
      </c>
      <c r="M84" s="144">
        <f t="shared" ref="M84:M87" si="164">+L84/1000</f>
        <v>1.5456099999999999E-2</v>
      </c>
      <c r="N84" s="144">
        <f t="shared" si="0"/>
        <v>0.15756772760132909</v>
      </c>
      <c r="O84" s="144">
        <f t="shared" si="1"/>
        <v>6.2034538425720118</v>
      </c>
      <c r="P84" s="145">
        <f t="shared" si="12"/>
        <v>8</v>
      </c>
      <c r="Q84" s="113">
        <f>IF(O84&gt;0,VLOOKUP(P84,'$ alcantarillado'!$I$5:$L$22,4,FALSE),"0")</f>
        <v>0.182</v>
      </c>
      <c r="R84" s="113">
        <f t="shared" si="2"/>
        <v>2.2700960280449212E-2</v>
      </c>
      <c r="S84" s="146">
        <f t="shared" si="3"/>
        <v>0.68085666020530788</v>
      </c>
      <c r="T84" s="145">
        <f>+IF(S84&gt;$B$13,VLOOKUP(P84,'$ alcantarillado'!$I$6:$N$22,5),P84)</f>
        <v>8</v>
      </c>
      <c r="U84" s="113">
        <f>IF(O84&gt;0,VLOOKUP(T84,'$ alcantarillado'!$I$5:$L$22,4),"0")</f>
        <v>0.182</v>
      </c>
      <c r="V84" s="113">
        <f t="shared" si="4"/>
        <v>2.2700960280449212E-2</v>
      </c>
      <c r="W84" s="146">
        <f t="shared" si="97"/>
        <v>0.68085666020530788</v>
      </c>
      <c r="X84" s="146">
        <f t="shared" ref="X84:X87" si="165">IF(T84&gt;0,4*V84/(PI()*(U84)^2),"")</f>
        <v>0.87259269208218104</v>
      </c>
      <c r="Y84" s="113">
        <f>IF(T84&gt;0,(VLOOKUP($W84,Relaciones!$A$4:$D$108,2)),"")</f>
        <v>0.93600000000000005</v>
      </c>
      <c r="Z84" s="146">
        <f t="shared" ref="Z84:Z87" si="166">IF(T84&gt;0,Y84*X84,"")</f>
        <v>0.81674675978892153</v>
      </c>
      <c r="AA84" s="146">
        <f t="shared" ref="AA84:AA87" si="167">IF(T84&gt;0,250*U84*J84,"")</f>
        <v>0.21328125000000001</v>
      </c>
      <c r="AB84" s="147" t="str">
        <f t="shared" ref="AB84:AB87" si="168">IF(T84&gt;0,IF(W84&lt;=$B$13,"OK","No Cumple"),"")</f>
        <v>OK</v>
      </c>
      <c r="AC84" s="147" t="str">
        <f t="shared" ref="AC84:AC87" si="169">IF(T84&gt;0,IF(Z84&gt;=$B$12,"OK","No Cumple"),"")</f>
        <v>OK</v>
      </c>
      <c r="AD84" s="147" t="str">
        <f t="shared" ref="AD84:AD87" si="170">IF(T84&gt;0,IF(AA84&gt;$B$14,"OK","No Cumple"),"")</f>
        <v>OK</v>
      </c>
      <c r="AE84" s="148">
        <f t="shared" ref="AE84:AG87" si="171">+IF(AB84="OK",1,0)</f>
        <v>1</v>
      </c>
      <c r="AF84" s="148">
        <f t="shared" si="171"/>
        <v>1</v>
      </c>
      <c r="AG84" s="148">
        <f t="shared" si="171"/>
        <v>1</v>
      </c>
      <c r="AH84" s="148">
        <f t="shared" ref="AH84:AH87" si="172">SUM(AE84:AG84)</f>
        <v>3</v>
      </c>
      <c r="AI84" s="147">
        <f t="shared" ref="AI84:AI87" si="173">IF(AH84=3,2*$B$7+U84,0)</f>
        <v>0.68199999999999994</v>
      </c>
      <c r="AJ84" s="149">
        <f>IF(AI84&gt;0,I84*VLOOKUP(T84,'$ alcantarillado'!$I$6:$K$22,3),0)</f>
        <v>2654586.666666667</v>
      </c>
      <c r="AK84" s="149">
        <f t="shared" si="136"/>
        <v>3508971.8400000031</v>
      </c>
      <c r="AL84" s="149">
        <f t="shared" si="137"/>
        <v>1575343.1170000019</v>
      </c>
      <c r="AM84" s="149">
        <f t="shared" si="22"/>
        <v>7738901.623666672</v>
      </c>
      <c r="AN84" s="180">
        <f>IF(AP53&gt;0,IF(AP181&gt;0,AP53+AP181,0),0)</f>
        <v>23146025.804000024</v>
      </c>
      <c r="AO84" s="161">
        <f t="shared" si="82"/>
        <v>30884927.427666694</v>
      </c>
      <c r="AP84" s="226"/>
      <c r="AQ84" s="142"/>
      <c r="AR84" s="165"/>
    </row>
    <row r="85" spans="1:44" x14ac:dyDescent="0.25">
      <c r="A85" s="230"/>
      <c r="B85" s="230"/>
      <c r="C85" s="230"/>
      <c r="D85" s="230"/>
      <c r="E85" s="151">
        <v>3</v>
      </c>
      <c r="F85" s="190">
        <f>IF(H60&lt;H188,H60,H188)</f>
        <v>46.89</v>
      </c>
      <c r="G85" s="151">
        <v>3</v>
      </c>
      <c r="H85" s="142">
        <f t="shared" ref="H85:I86" si="174">+H84</f>
        <v>46.64</v>
      </c>
      <c r="I85" s="142">
        <f t="shared" si="174"/>
        <v>80</v>
      </c>
      <c r="J85" s="143">
        <f t="shared" si="9"/>
        <v>3.1250000000000002E-3</v>
      </c>
      <c r="K85" s="142">
        <f t="shared" ref="K85:K86" si="175">+K84</f>
        <v>1264</v>
      </c>
      <c r="L85" s="128">
        <f t="shared" si="10"/>
        <v>15.456099999999999</v>
      </c>
      <c r="M85" s="144">
        <f t="shared" si="164"/>
        <v>1.5456099999999999E-2</v>
      </c>
      <c r="N85" s="144">
        <f t="shared" si="0"/>
        <v>0.17001388158888045</v>
      </c>
      <c r="O85" s="144">
        <f t="shared" si="1"/>
        <v>6.6934599050740333</v>
      </c>
      <c r="P85" s="145">
        <f t="shared" si="12"/>
        <v>8</v>
      </c>
      <c r="Q85" s="113">
        <f>IF(O85&gt;0,VLOOKUP(P85,'$ alcantarillado'!$I$5:$L$22,4,FALSE),"0")</f>
        <v>0.182</v>
      </c>
      <c r="R85" s="113">
        <f t="shared" si="2"/>
        <v>1.8535256452762897E-2</v>
      </c>
      <c r="S85" s="146">
        <f t="shared" si="3"/>
        <v>0.83387570273925649</v>
      </c>
      <c r="T85" s="145">
        <f>+IF(S85&gt;$B$13,VLOOKUP(P85,'$ alcantarillado'!$I$6:$N$22,5),P85)</f>
        <v>8</v>
      </c>
      <c r="U85" s="113">
        <f>IF(O85&gt;0,VLOOKUP(T85,'$ alcantarillado'!$I$5:$L$22,4),"0")</f>
        <v>0.182</v>
      </c>
      <c r="V85" s="113">
        <f t="shared" si="4"/>
        <v>1.8535256452762897E-2</v>
      </c>
      <c r="W85" s="146">
        <f t="shared" si="97"/>
        <v>0.83387570273925649</v>
      </c>
      <c r="X85" s="146">
        <f t="shared" si="165"/>
        <v>0.71246894962762097</v>
      </c>
      <c r="Y85" s="113">
        <f>IF(T85&gt;0,(VLOOKUP($W85,Relaciones!$A$4:$D$108,2)),"")</f>
        <v>0.99299999999999999</v>
      </c>
      <c r="Z85" s="146">
        <f t="shared" si="166"/>
        <v>0.70748166698022763</v>
      </c>
      <c r="AA85" s="146">
        <f t="shared" si="167"/>
        <v>0.14218749999999999</v>
      </c>
      <c r="AB85" s="147" t="str">
        <f t="shared" si="168"/>
        <v>OK</v>
      </c>
      <c r="AC85" s="147" t="str">
        <f t="shared" si="169"/>
        <v>OK</v>
      </c>
      <c r="AD85" s="147" t="str">
        <f t="shared" si="170"/>
        <v>No Cumple</v>
      </c>
      <c r="AE85" s="148">
        <f t="shared" si="171"/>
        <v>1</v>
      </c>
      <c r="AF85" s="148">
        <f t="shared" si="171"/>
        <v>1</v>
      </c>
      <c r="AG85" s="148">
        <f t="shared" si="171"/>
        <v>0</v>
      </c>
      <c r="AH85" s="148">
        <f t="shared" si="172"/>
        <v>2</v>
      </c>
      <c r="AI85" s="147">
        <f t="shared" si="173"/>
        <v>0</v>
      </c>
      <c r="AJ85" s="149">
        <f>IF(AI85&gt;0,I85*VLOOKUP(T85,'$ alcantarillado'!$I$6:$K$22,3),0)</f>
        <v>0</v>
      </c>
      <c r="AK85" s="149">
        <f t="shared" si="136"/>
        <v>0</v>
      </c>
      <c r="AL85" s="149">
        <f t="shared" si="137"/>
        <v>0</v>
      </c>
      <c r="AM85" s="149">
        <f t="shared" si="22"/>
        <v>0</v>
      </c>
      <c r="AN85" s="180">
        <f>IF(AP58&gt;0,IF(AP186&gt;0,AP58+AP186,0),0)</f>
        <v>23265455.804000024</v>
      </c>
      <c r="AO85" s="150" t="str">
        <f t="shared" si="82"/>
        <v/>
      </c>
      <c r="AP85" s="227"/>
      <c r="AQ85" s="142"/>
      <c r="AR85" s="165"/>
    </row>
    <row r="86" spans="1:44" x14ac:dyDescent="0.25">
      <c r="A86" s="230"/>
      <c r="B86" s="230"/>
      <c r="C86" s="230"/>
      <c r="D86" s="230"/>
      <c r="E86" s="151">
        <v>4</v>
      </c>
      <c r="F86" s="190">
        <f>IF(H65&lt;H193,H65,H193)</f>
        <v>46.765000000000001</v>
      </c>
      <c r="G86" s="151">
        <v>3</v>
      </c>
      <c r="H86" s="142">
        <f t="shared" si="174"/>
        <v>46.64</v>
      </c>
      <c r="I86" s="142">
        <f t="shared" si="174"/>
        <v>80</v>
      </c>
      <c r="J86" s="143">
        <f>+(F86-H86)/I86</f>
        <v>1.5625000000000001E-3</v>
      </c>
      <c r="K86" s="142">
        <f t="shared" si="175"/>
        <v>1264</v>
      </c>
      <c r="L86" s="128">
        <f t="shared" si="10"/>
        <v>15.456099999999999</v>
      </c>
      <c r="M86" s="144">
        <f t="shared" si="164"/>
        <v>1.5456099999999999E-2</v>
      </c>
      <c r="N86" s="144">
        <f t="shared" si="0"/>
        <v>0.19360987610428701</v>
      </c>
      <c r="O86" s="144">
        <f t="shared" si="1"/>
        <v>7.6224360670979143</v>
      </c>
      <c r="P86" s="145">
        <f t="shared" si="12"/>
        <v>8</v>
      </c>
      <c r="Q86" s="113">
        <f>IF(O86&gt;0,VLOOKUP(P86,'$ alcantarillado'!$I$5:$L$22,4,FALSE),"0")</f>
        <v>0.182</v>
      </c>
      <c r="R86" s="113">
        <f t="shared" si="2"/>
        <v>1.3106405528780356E-2</v>
      </c>
      <c r="S86" s="146">
        <f t="shared" si="3"/>
        <v>1.1792783281472521</v>
      </c>
      <c r="T86" s="145">
        <f>+IF(S86&gt;$B$13,VLOOKUP(P86,'$ alcantarillado'!$I$6:$N$22,5),P86)</f>
        <v>10</v>
      </c>
      <c r="U86" s="113">
        <f>IF(O86&gt;0,VLOOKUP(T86,'$ alcantarillado'!$I$5:$L$22,4),"0")</f>
        <v>0.22700000000000001</v>
      </c>
      <c r="V86" s="113">
        <f t="shared" si="4"/>
        <v>2.3624476083504924E-2</v>
      </c>
      <c r="W86" s="146">
        <f t="shared" si="97"/>
        <v>0.65424096370931817</v>
      </c>
      <c r="X86" s="146">
        <f t="shared" si="165"/>
        <v>0.5837415275508655</v>
      </c>
      <c r="Y86" s="113">
        <f>IF(T86&gt;0,(VLOOKUP($W86,Relaciones!$A$4:$D$108,2)),"")</f>
        <v>0.92200000000000004</v>
      </c>
      <c r="Z86" s="146">
        <f t="shared" si="166"/>
        <v>0.53820968840189798</v>
      </c>
      <c r="AA86" s="146">
        <f t="shared" si="167"/>
        <v>8.8671875000000011E-2</v>
      </c>
      <c r="AB86" s="147" t="str">
        <f t="shared" si="168"/>
        <v>OK</v>
      </c>
      <c r="AC86" s="147" t="str">
        <f t="shared" si="169"/>
        <v>OK</v>
      </c>
      <c r="AD86" s="147" t="str">
        <f t="shared" si="170"/>
        <v>No Cumple</v>
      </c>
      <c r="AE86" s="148">
        <f t="shared" si="171"/>
        <v>1</v>
      </c>
      <c r="AF86" s="148">
        <f t="shared" si="171"/>
        <v>1</v>
      </c>
      <c r="AG86" s="148">
        <f t="shared" si="171"/>
        <v>0</v>
      </c>
      <c r="AH86" s="148">
        <f t="shared" si="172"/>
        <v>2</v>
      </c>
      <c r="AI86" s="147">
        <f t="shared" si="173"/>
        <v>0</v>
      </c>
      <c r="AJ86" s="149">
        <f>IF(AI86&gt;0,I86*VLOOKUP(T86,'$ alcantarillado'!$I$6:$K$22,3),0)</f>
        <v>0</v>
      </c>
      <c r="AK86" s="149">
        <f t="shared" si="136"/>
        <v>0</v>
      </c>
      <c r="AL86" s="149">
        <f t="shared" si="137"/>
        <v>0</v>
      </c>
      <c r="AM86" s="149">
        <f t="shared" si="22"/>
        <v>0</v>
      </c>
      <c r="AN86" s="180">
        <f>IF(AP63&gt;0,IF(AP191&gt;0,AP63+AP191,0),0)</f>
        <v>23384885.804000027</v>
      </c>
      <c r="AO86" s="150" t="str">
        <f t="shared" si="82"/>
        <v/>
      </c>
      <c r="AP86" s="227"/>
      <c r="AQ86" s="142">
        <v>2</v>
      </c>
      <c r="AR86" s="165">
        <v>3</v>
      </c>
    </row>
    <row r="87" spans="1:44" ht="15.75" thickBot="1" x14ac:dyDescent="0.3">
      <c r="A87" s="230"/>
      <c r="B87" s="230"/>
      <c r="C87" s="230"/>
      <c r="D87" s="230"/>
      <c r="E87" s="152">
        <v>5</v>
      </c>
      <c r="F87" s="191">
        <f>IF(H70&lt;H193,H70,H193)</f>
        <v>46.765000000000001</v>
      </c>
      <c r="G87" s="152">
        <v>3</v>
      </c>
      <c r="H87" s="154">
        <f>+H86</f>
        <v>46.64</v>
      </c>
      <c r="I87" s="154">
        <f>+I86</f>
        <v>80</v>
      </c>
      <c r="J87" s="155">
        <f t="shared" si="9"/>
        <v>1.5625000000000001E-3</v>
      </c>
      <c r="K87" s="154">
        <f>+K86</f>
        <v>1264</v>
      </c>
      <c r="L87" s="153">
        <f t="shared" si="10"/>
        <v>15.456099999999999</v>
      </c>
      <c r="M87" s="156">
        <f t="shared" si="164"/>
        <v>1.5456099999999999E-2</v>
      </c>
      <c r="N87" s="156">
        <f t="shared" ref="N87:N147" si="176">+IF(J87&gt;0,((M87*$B$2*(4^(5/3))/((J87^0.5)*PI()*$B$6))^(3/8)),0)</f>
        <v>0.19360987610428701</v>
      </c>
      <c r="O87" s="156">
        <f t="shared" ref="O87:O147" si="177">+N87*(100/2.54)</f>
        <v>7.6224360670979143</v>
      </c>
      <c r="P87" s="157">
        <f t="shared" si="12"/>
        <v>8</v>
      </c>
      <c r="Q87" s="113">
        <f>IF(O87&gt;0,VLOOKUP(P87,'$ alcantarillado'!$I$5:$L$22,4,FALSE),"0")</f>
        <v>0.182</v>
      </c>
      <c r="R87" s="160">
        <f t="shared" ref="R87:R147" si="178">IF(P87&gt;0,PI()*((Q87)^(8/3))*((J87)^0.5)/($B$2*4^(5/3)),"")</f>
        <v>1.3106405528780356E-2</v>
      </c>
      <c r="S87" s="146">
        <f t="shared" ref="S87:S147" si="179">IF(P87&gt;0,+M87/R87,0)</f>
        <v>1.1792783281472521</v>
      </c>
      <c r="T87" s="145">
        <f>+IF(S87&gt;$B$13,VLOOKUP(P87,'$ alcantarillado'!$I$6:$N$22,5),P87)</f>
        <v>10</v>
      </c>
      <c r="U87" s="113">
        <f>IF(O87&gt;0,VLOOKUP(T87,'$ alcantarillado'!$I$5:$L$22,4),"0")</f>
        <v>0.22700000000000001</v>
      </c>
      <c r="V87" s="113">
        <f t="shared" ref="V87:V147" si="180">IF(T87&gt;0,PI()*((U87)^(8/3))*((J87)^0.5)/($B$2*4^(5/3)),"")</f>
        <v>2.3624476083504924E-2</v>
      </c>
      <c r="W87" s="146">
        <f t="shared" ref="W87:W118" si="181">IF(T87&gt;0,M87/V87,0)</f>
        <v>0.65424096370931817</v>
      </c>
      <c r="X87" s="146">
        <f t="shared" si="165"/>
        <v>0.5837415275508655</v>
      </c>
      <c r="Y87" s="113">
        <f>IF(T87&gt;0,(VLOOKUP($W87,Relaciones!$A$4:$D$108,2)),"")</f>
        <v>0.92200000000000004</v>
      </c>
      <c r="Z87" s="146">
        <f t="shared" si="166"/>
        <v>0.53820968840189798</v>
      </c>
      <c r="AA87" s="146">
        <f t="shared" si="167"/>
        <v>8.8671875000000011E-2</v>
      </c>
      <c r="AB87" s="147" t="str">
        <f t="shared" si="168"/>
        <v>OK</v>
      </c>
      <c r="AC87" s="147" t="str">
        <f t="shared" si="169"/>
        <v>OK</v>
      </c>
      <c r="AD87" s="147" t="str">
        <f t="shared" si="170"/>
        <v>No Cumple</v>
      </c>
      <c r="AE87" s="148">
        <f t="shared" si="171"/>
        <v>1</v>
      </c>
      <c r="AF87" s="148">
        <f t="shared" si="171"/>
        <v>1</v>
      </c>
      <c r="AG87" s="148">
        <f t="shared" si="171"/>
        <v>0</v>
      </c>
      <c r="AH87" s="148">
        <f t="shared" si="172"/>
        <v>2</v>
      </c>
      <c r="AI87" s="147">
        <f t="shared" si="173"/>
        <v>0</v>
      </c>
      <c r="AJ87" s="158">
        <f>IF(AI87&gt;0,I87*VLOOKUP(T87,'$ alcantarillado'!$I$6:$K$22,3),0)</f>
        <v>0</v>
      </c>
      <c r="AK87" s="149">
        <f t="shared" si="136"/>
        <v>0</v>
      </c>
      <c r="AL87" s="149">
        <f t="shared" si="137"/>
        <v>0</v>
      </c>
      <c r="AM87" s="158">
        <f t="shared" si="22"/>
        <v>0</v>
      </c>
      <c r="AN87" s="180">
        <f>IF(AP68&gt;0,IF(AP196&gt;0,AP68+AP196,0),0)</f>
        <v>22514139.33366669</v>
      </c>
      <c r="AO87" s="159" t="str">
        <f t="shared" si="82"/>
        <v/>
      </c>
      <c r="AP87" s="228"/>
      <c r="AQ87" s="154"/>
      <c r="AR87" s="166"/>
    </row>
    <row r="88" spans="1:44" x14ac:dyDescent="0.25">
      <c r="A88" s="230"/>
      <c r="B88" s="230"/>
      <c r="C88" s="230"/>
      <c r="D88" s="230"/>
      <c r="E88" s="127">
        <v>1</v>
      </c>
      <c r="F88" s="189">
        <f>IF(H52&lt;H176,H52,H176)</f>
        <v>47.14</v>
      </c>
      <c r="G88" s="127">
        <v>4</v>
      </c>
      <c r="H88" s="132">
        <f>+H83-$B$15</f>
        <v>46.515000000000001</v>
      </c>
      <c r="I88" s="142">
        <f>+I83</f>
        <v>80</v>
      </c>
      <c r="J88" s="143">
        <f>+(F88-H88)/I88</f>
        <v>7.8125E-3</v>
      </c>
      <c r="K88" s="142">
        <f>+K83</f>
        <v>1264</v>
      </c>
      <c r="L88" s="132">
        <f>IF(K88&lt;38,K88^0.3686*0.7401,IF(K88&lt;235,K88^0.4193*0.6215,IF(K88&lt;932,K88*0.0092+4.2493,K88*0.0069+6.7345)))</f>
        <v>15.456099999999999</v>
      </c>
      <c r="M88" s="133">
        <f>+L88/1000</f>
        <v>1.5456099999999999E-2</v>
      </c>
      <c r="N88" s="133">
        <f t="shared" si="176"/>
        <v>0.1431761338954268</v>
      </c>
      <c r="O88" s="133">
        <f t="shared" si="177"/>
        <v>5.6368556651742834</v>
      </c>
      <c r="P88" s="134">
        <f t="shared" ref="P88:P147" si="182">IF(O88&lt;0.1,0,IF(O88&lt;4,6,EVEN(O88)))</f>
        <v>6</v>
      </c>
      <c r="Q88" s="135">
        <f>IF(O88&gt;0,VLOOKUP(P88,'$ alcantarillado'!$I$5:$L$22,4,FALSE),"0")</f>
        <v>0.14499999999999999</v>
      </c>
      <c r="R88" s="135">
        <f t="shared" si="178"/>
        <v>1.5986727597372376E-2</v>
      </c>
      <c r="S88" s="136">
        <f t="shared" si="179"/>
        <v>0.96680824176552593</v>
      </c>
      <c r="T88" s="134">
        <f>+IF(S88&gt;$B$13,VLOOKUP(P88,'$ alcantarillado'!$I$6:$N$22,5),P88)</f>
        <v>8</v>
      </c>
      <c r="U88" s="135">
        <f>IF(O88&gt;0,VLOOKUP(T88,'$ alcantarillado'!$I$5:$L$22,4),"0")</f>
        <v>0.182</v>
      </c>
      <c r="V88" s="135">
        <f t="shared" si="180"/>
        <v>2.9306813703031953E-2</v>
      </c>
      <c r="W88" s="136">
        <f t="shared" si="181"/>
        <v>0.52738930122591177</v>
      </c>
      <c r="X88" s="136">
        <f>IF(T88&gt;0,4*V88/(PI()*(U88)^2),"")</f>
        <v>1.1265123214855279</v>
      </c>
      <c r="Y88" s="135">
        <f>IF(T88&gt;0,(VLOOKUP($W88,Relaciones!$A$4:$D$108,2)),"")</f>
        <v>0.86</v>
      </c>
      <c r="Z88" s="136">
        <f>IF(T88&gt;0,Y88*X88,"")</f>
        <v>0.96880059647755401</v>
      </c>
      <c r="AA88" s="136">
        <f>IF(T88&gt;0,250*U88*J88,"")</f>
        <v>0.35546875</v>
      </c>
      <c r="AB88" s="137" t="str">
        <f>IF(T88&gt;0,IF(W88&lt;=$B$13,"OK","No Cumple"),"")</f>
        <v>OK</v>
      </c>
      <c r="AC88" s="137" t="str">
        <f>IF(T88&gt;0,IF(Z88&gt;=$B$12,"OK","No Cumple"),"")</f>
        <v>OK</v>
      </c>
      <c r="AD88" s="137" t="str">
        <f>IF(T88&gt;0,IF(AA88&gt;$B$14,"OK","No Cumple"),"")</f>
        <v>OK</v>
      </c>
      <c r="AE88" s="138">
        <f>+IF(AB88="OK",1,0)</f>
        <v>1</v>
      </c>
      <c r="AF88" s="138">
        <f>+IF(AC88="OK",1,0)</f>
        <v>1</v>
      </c>
      <c r="AG88" s="138">
        <f>+IF(AD88="OK",1,0)</f>
        <v>1</v>
      </c>
      <c r="AH88" s="138">
        <f>SUM(AE88:AG88)</f>
        <v>3</v>
      </c>
      <c r="AI88" s="137">
        <f>IF(AH88=3,2*$B$7+U88,0)</f>
        <v>0.68199999999999994</v>
      </c>
      <c r="AJ88" s="139">
        <f>IF(AI88&gt;0,I88*VLOOKUP(T88,'$ alcantarillado'!$I$6:$K$22,3),0)</f>
        <v>2654586.666666667</v>
      </c>
      <c r="AK88" s="139">
        <f t="shared" si="136"/>
        <v>3447591.8400000036</v>
      </c>
      <c r="AL88" s="139">
        <f t="shared" si="137"/>
        <v>1488095.4920000019</v>
      </c>
      <c r="AM88" s="139">
        <f>IF(AJ88&gt;0,AJ88+AK88+AL88,0)</f>
        <v>7590273.998666672</v>
      </c>
      <c r="AN88" s="179">
        <f>IF(AP48&gt;0,IF(AP176&gt;0,AP48+AP176,0),0)</f>
        <v>0</v>
      </c>
      <c r="AO88" s="140" t="str">
        <f>IF((AM88)&gt;0,IF(AN88&gt;0,AM88+AN88,""),"")</f>
        <v/>
      </c>
      <c r="AP88" s="217">
        <f>+MIN(AO88:AO92)</f>
        <v>30946307.427666694</v>
      </c>
      <c r="AQ88" s="129"/>
      <c r="AR88" s="163"/>
    </row>
    <row r="89" spans="1:44" x14ac:dyDescent="0.25">
      <c r="A89" s="230"/>
      <c r="B89" s="230"/>
      <c r="C89" s="230"/>
      <c r="D89" s="230"/>
      <c r="E89" s="141">
        <v>2</v>
      </c>
      <c r="F89" s="190">
        <f>IF(H55&lt;H181,H55,H181)</f>
        <v>47.015000000000001</v>
      </c>
      <c r="G89" s="141">
        <v>4</v>
      </c>
      <c r="H89" s="128">
        <f>+H88</f>
        <v>46.515000000000001</v>
      </c>
      <c r="I89" s="142">
        <f>+I88</f>
        <v>80</v>
      </c>
      <c r="J89" s="143">
        <f t="shared" ref="J89:J97" si="183">+(F89-H89)/I89</f>
        <v>6.2500000000000003E-3</v>
      </c>
      <c r="K89" s="142">
        <f>+K88</f>
        <v>1264</v>
      </c>
      <c r="L89" s="128">
        <f t="shared" ref="L89:L97" si="184">IF(K89&lt;38,K89^0.3686*0.7401,IF(K89&lt;235,K89^0.4193*0.6215,IF(K89&lt;932,K89*0.0092+4.2493,K89*0.0069+6.7345)))</f>
        <v>15.456099999999999</v>
      </c>
      <c r="M89" s="144">
        <f t="shared" ref="M89:M92" si="185">+L89/1000</f>
        <v>1.5456099999999999E-2</v>
      </c>
      <c r="N89" s="144">
        <f t="shared" si="176"/>
        <v>0.14929362341696081</v>
      </c>
      <c r="O89" s="144">
        <f t="shared" si="177"/>
        <v>5.8777017093291661</v>
      </c>
      <c r="P89" s="145">
        <f t="shared" si="182"/>
        <v>6</v>
      </c>
      <c r="Q89" s="113">
        <f>IF(O89&gt;0,VLOOKUP(P89,'$ alcantarillado'!$I$5:$L$22,4,FALSE),"0")</f>
        <v>0.14499999999999999</v>
      </c>
      <c r="R89" s="113">
        <f t="shared" si="178"/>
        <v>1.4298963858198607E-2</v>
      </c>
      <c r="S89" s="146">
        <f t="shared" si="179"/>
        <v>1.0809244748973839</v>
      </c>
      <c r="T89" s="145">
        <f>+IF(S89&gt;$B$13,VLOOKUP(P89,'$ alcantarillado'!$I$6:$N$22,5),P89)</f>
        <v>8</v>
      </c>
      <c r="U89" s="113">
        <f>IF(O89&gt;0,VLOOKUP(T89,'$ alcantarillado'!$I$5:$L$22,4),"0")</f>
        <v>0.182</v>
      </c>
      <c r="V89" s="113">
        <f t="shared" si="180"/>
        <v>2.6212811057560712E-2</v>
      </c>
      <c r="W89" s="146">
        <f t="shared" si="181"/>
        <v>0.58963916407362604</v>
      </c>
      <c r="X89" s="146">
        <f t="shared" ref="X89:X92" si="186">IF(T89&gt;0,4*V89/(PI()*(U89)^2),"")</f>
        <v>1.0075832513330949</v>
      </c>
      <c r="Y89" s="113">
        <f>IF(T89&gt;0,(VLOOKUP($W89,Relaciones!$A$4:$D$108,2)),"")</f>
        <v>0.89</v>
      </c>
      <c r="Z89" s="146">
        <f t="shared" ref="Z89:Z92" si="187">IF(T89&gt;0,Y89*X89,"")</f>
        <v>0.8967490936864545</v>
      </c>
      <c r="AA89" s="146">
        <f t="shared" ref="AA89:AA92" si="188">IF(T89&gt;0,250*U89*J89,"")</f>
        <v>0.28437499999999999</v>
      </c>
      <c r="AB89" s="147" t="str">
        <f t="shared" ref="AB89:AB92" si="189">IF(T89&gt;0,IF(W89&lt;=$B$13,"OK","No Cumple"),"")</f>
        <v>OK</v>
      </c>
      <c r="AC89" s="147" t="str">
        <f t="shared" ref="AC89:AC92" si="190">IF(T89&gt;0,IF(Z89&gt;=$B$12,"OK","No Cumple"),"")</f>
        <v>OK</v>
      </c>
      <c r="AD89" s="147" t="str">
        <f t="shared" ref="AD89:AD92" si="191">IF(T89&gt;0,IF(AA89&gt;$B$14,"OK","No Cumple"),"")</f>
        <v>OK</v>
      </c>
      <c r="AE89" s="148">
        <f t="shared" ref="AE89:AG92" si="192">+IF(AB89="OK",1,0)</f>
        <v>1</v>
      </c>
      <c r="AF89" s="148">
        <f t="shared" si="192"/>
        <v>1</v>
      </c>
      <c r="AG89" s="148">
        <f t="shared" si="192"/>
        <v>1</v>
      </c>
      <c r="AH89" s="148">
        <f t="shared" ref="AH89:AH92" si="193">SUM(AE89:AG89)</f>
        <v>3</v>
      </c>
      <c r="AI89" s="147">
        <f t="shared" ref="AI89:AI92" si="194">IF(AH89=3,2*$B$7+U89,0)</f>
        <v>0.68199999999999994</v>
      </c>
      <c r="AJ89" s="149">
        <f>IF(AI89&gt;0,I89*VLOOKUP(T89,'$ alcantarillado'!$I$6:$K$22,3),0)</f>
        <v>2654586.666666667</v>
      </c>
      <c r="AK89" s="149">
        <f t="shared" si="136"/>
        <v>3570351.8400000036</v>
      </c>
      <c r="AL89" s="149">
        <f t="shared" si="137"/>
        <v>1575343.1170000019</v>
      </c>
      <c r="AM89" s="149">
        <f t="shared" ref="AM89:AM97" si="195">IF(AJ89&gt;0,AJ89+AK89+AL89,0)</f>
        <v>7800281.623666672</v>
      </c>
      <c r="AN89" s="180">
        <f>IF(AP53&gt;0,IF(AP181&gt;0,AP53+AP181,0),0)</f>
        <v>23146025.804000024</v>
      </c>
      <c r="AO89" s="150">
        <f t="shared" si="82"/>
        <v>30946307.427666694</v>
      </c>
      <c r="AP89" s="218"/>
      <c r="AQ89" s="142"/>
      <c r="AR89" s="165"/>
    </row>
    <row r="90" spans="1:44" x14ac:dyDescent="0.25">
      <c r="A90" s="230"/>
      <c r="B90" s="230"/>
      <c r="C90" s="230"/>
      <c r="D90" s="230"/>
      <c r="E90" s="151">
        <v>3</v>
      </c>
      <c r="F90" s="190">
        <f>IF(H60&lt;H187,H60,H187)</f>
        <v>46.89</v>
      </c>
      <c r="G90" s="151">
        <v>4</v>
      </c>
      <c r="H90" s="128">
        <f t="shared" ref="H90:I91" si="196">+H89</f>
        <v>46.515000000000001</v>
      </c>
      <c r="I90" s="142">
        <f t="shared" si="196"/>
        <v>80</v>
      </c>
      <c r="J90" s="143">
        <f t="shared" si="183"/>
        <v>4.6874999999999998E-3</v>
      </c>
      <c r="K90" s="142">
        <f t="shared" ref="K90:K91" si="197">+K89</f>
        <v>1264</v>
      </c>
      <c r="L90" s="128">
        <f t="shared" si="184"/>
        <v>15.456099999999999</v>
      </c>
      <c r="M90" s="144">
        <f t="shared" si="185"/>
        <v>1.5456099999999999E-2</v>
      </c>
      <c r="N90" s="144">
        <f t="shared" si="176"/>
        <v>0.15756772760132909</v>
      </c>
      <c r="O90" s="144">
        <f t="shared" si="177"/>
        <v>6.2034538425720118</v>
      </c>
      <c r="P90" s="145">
        <f t="shared" si="182"/>
        <v>8</v>
      </c>
      <c r="Q90" s="113">
        <f>IF(O90&gt;0,VLOOKUP(P90,'$ alcantarillado'!$I$5:$L$22,4,FALSE),"0")</f>
        <v>0.182</v>
      </c>
      <c r="R90" s="113">
        <f t="shared" si="178"/>
        <v>2.2700960280449212E-2</v>
      </c>
      <c r="S90" s="146">
        <f t="shared" si="179"/>
        <v>0.68085666020530788</v>
      </c>
      <c r="T90" s="145">
        <f>+IF(S90&gt;$B$13,VLOOKUP(P90,'$ alcantarillado'!$I$6:$N$22,5),P90)</f>
        <v>8</v>
      </c>
      <c r="U90" s="113">
        <f>IF(O90&gt;0,VLOOKUP(T90,'$ alcantarillado'!$I$5:$L$22,4),"0")</f>
        <v>0.182</v>
      </c>
      <c r="V90" s="113">
        <f t="shared" si="180"/>
        <v>2.2700960280449212E-2</v>
      </c>
      <c r="W90" s="146">
        <f t="shared" si="181"/>
        <v>0.68085666020530788</v>
      </c>
      <c r="X90" s="146">
        <f t="shared" si="186"/>
        <v>0.87259269208218104</v>
      </c>
      <c r="Y90" s="113">
        <f>IF(T90&gt;0,(VLOOKUP($W90,Relaciones!$A$4:$D$108,2)),"")</f>
        <v>0.93600000000000005</v>
      </c>
      <c r="Z90" s="146">
        <f t="shared" si="187"/>
        <v>0.81674675978892153</v>
      </c>
      <c r="AA90" s="146">
        <f t="shared" si="188"/>
        <v>0.21328125000000001</v>
      </c>
      <c r="AB90" s="147" t="str">
        <f t="shared" si="189"/>
        <v>OK</v>
      </c>
      <c r="AC90" s="147" t="str">
        <f t="shared" si="190"/>
        <v>OK</v>
      </c>
      <c r="AD90" s="147" t="str">
        <f t="shared" si="191"/>
        <v>OK</v>
      </c>
      <c r="AE90" s="148">
        <f t="shared" si="192"/>
        <v>1</v>
      </c>
      <c r="AF90" s="148">
        <f t="shared" si="192"/>
        <v>1</v>
      </c>
      <c r="AG90" s="148">
        <f t="shared" si="192"/>
        <v>1</v>
      </c>
      <c r="AH90" s="148">
        <f t="shared" si="193"/>
        <v>3</v>
      </c>
      <c r="AI90" s="147">
        <f t="shared" si="194"/>
        <v>0.68199999999999994</v>
      </c>
      <c r="AJ90" s="149">
        <f>IF(AI90&gt;0,I90*VLOOKUP(T90,'$ alcantarillado'!$I$6:$K$22,3),0)</f>
        <v>2654586.666666667</v>
      </c>
      <c r="AK90" s="149">
        <f t="shared" si="136"/>
        <v>3693111.8400000036</v>
      </c>
      <c r="AL90" s="149">
        <f t="shared" si="137"/>
        <v>1662590.7420000019</v>
      </c>
      <c r="AM90" s="149">
        <f t="shared" si="195"/>
        <v>8010289.248666672</v>
      </c>
      <c r="AN90" s="180">
        <f>IF(AP58&gt;0,IF(AP186&gt;0,AP58+AP186,0),0)</f>
        <v>23265455.804000024</v>
      </c>
      <c r="AO90" s="150">
        <f t="shared" si="82"/>
        <v>31275745.052666694</v>
      </c>
      <c r="AP90" s="219"/>
      <c r="AQ90" s="142">
        <v>2</v>
      </c>
      <c r="AR90" s="165">
        <v>4</v>
      </c>
    </row>
    <row r="91" spans="1:44" x14ac:dyDescent="0.25">
      <c r="A91" s="230"/>
      <c r="B91" s="230"/>
      <c r="C91" s="230"/>
      <c r="D91" s="230"/>
      <c r="E91" s="151">
        <v>4</v>
      </c>
      <c r="F91" s="190">
        <f>IF(H66&lt;H192,H66,H192)</f>
        <v>46.765000000000001</v>
      </c>
      <c r="G91" s="151">
        <v>4</v>
      </c>
      <c r="H91" s="128">
        <f t="shared" si="196"/>
        <v>46.515000000000001</v>
      </c>
      <c r="I91" s="142">
        <f t="shared" si="196"/>
        <v>80</v>
      </c>
      <c r="J91" s="143">
        <f>+(F91-H91)/I91</f>
        <v>3.1250000000000002E-3</v>
      </c>
      <c r="K91" s="142">
        <f t="shared" si="197"/>
        <v>1264</v>
      </c>
      <c r="L91" s="128">
        <f t="shared" si="184"/>
        <v>15.456099999999999</v>
      </c>
      <c r="M91" s="144">
        <f t="shared" si="185"/>
        <v>1.5456099999999999E-2</v>
      </c>
      <c r="N91" s="144">
        <f t="shared" si="176"/>
        <v>0.17001388158888045</v>
      </c>
      <c r="O91" s="144">
        <f t="shared" si="177"/>
        <v>6.6934599050740333</v>
      </c>
      <c r="P91" s="145">
        <f t="shared" si="182"/>
        <v>8</v>
      </c>
      <c r="Q91" s="113">
        <f>IF(O91&gt;0,VLOOKUP(P91,'$ alcantarillado'!$I$5:$L$22,4,FALSE),"0")</f>
        <v>0.182</v>
      </c>
      <c r="R91" s="113">
        <f t="shared" si="178"/>
        <v>1.8535256452762897E-2</v>
      </c>
      <c r="S91" s="146">
        <f t="shared" si="179"/>
        <v>0.83387570273925649</v>
      </c>
      <c r="T91" s="145">
        <f>+IF(S91&gt;$B$13,VLOOKUP(P91,'$ alcantarillado'!$I$6:$N$22,5),P91)</f>
        <v>8</v>
      </c>
      <c r="U91" s="113">
        <f>IF(O91&gt;0,VLOOKUP(T91,'$ alcantarillado'!$I$5:$L$22,4),"0")</f>
        <v>0.182</v>
      </c>
      <c r="V91" s="113">
        <f t="shared" si="180"/>
        <v>1.8535256452762897E-2</v>
      </c>
      <c r="W91" s="146">
        <f t="shared" si="181"/>
        <v>0.83387570273925649</v>
      </c>
      <c r="X91" s="146">
        <f t="shared" si="186"/>
        <v>0.71246894962762097</v>
      </c>
      <c r="Y91" s="113">
        <f>IF(T91&gt;0,(VLOOKUP($W91,Relaciones!$A$4:$D$108,2)),"")</f>
        <v>0.99299999999999999</v>
      </c>
      <c r="Z91" s="146">
        <f t="shared" si="187"/>
        <v>0.70748166698022763</v>
      </c>
      <c r="AA91" s="146">
        <f t="shared" si="188"/>
        <v>0.14218749999999999</v>
      </c>
      <c r="AB91" s="147" t="str">
        <f t="shared" si="189"/>
        <v>OK</v>
      </c>
      <c r="AC91" s="147" t="str">
        <f t="shared" si="190"/>
        <v>OK</v>
      </c>
      <c r="AD91" s="147" t="str">
        <f t="shared" si="191"/>
        <v>No Cumple</v>
      </c>
      <c r="AE91" s="148">
        <f t="shared" si="192"/>
        <v>1</v>
      </c>
      <c r="AF91" s="148">
        <f t="shared" si="192"/>
        <v>1</v>
      </c>
      <c r="AG91" s="148">
        <f t="shared" si="192"/>
        <v>0</v>
      </c>
      <c r="AH91" s="148">
        <f t="shared" si="193"/>
        <v>2</v>
      </c>
      <c r="AI91" s="147">
        <f t="shared" si="194"/>
        <v>0</v>
      </c>
      <c r="AJ91" s="149">
        <f>IF(AI91&gt;0,I91*VLOOKUP(T91,'$ alcantarillado'!$I$6:$K$22,3),0)</f>
        <v>0</v>
      </c>
      <c r="AK91" s="149">
        <f t="shared" si="136"/>
        <v>0</v>
      </c>
      <c r="AL91" s="149">
        <f t="shared" si="137"/>
        <v>0</v>
      </c>
      <c r="AM91" s="149">
        <f t="shared" si="195"/>
        <v>0</v>
      </c>
      <c r="AN91" s="180">
        <f>IF(AP63&gt;0,IF(AP191&gt;0,AP63+AP191,0),0)</f>
        <v>23384885.804000027</v>
      </c>
      <c r="AO91" s="150" t="str">
        <f t="shared" si="82"/>
        <v/>
      </c>
      <c r="AP91" s="219"/>
      <c r="AQ91" s="142"/>
      <c r="AR91" s="165"/>
    </row>
    <row r="92" spans="1:44" ht="15.75" thickBot="1" x14ac:dyDescent="0.3">
      <c r="A92" s="230"/>
      <c r="B92" s="230"/>
      <c r="C92" s="230"/>
      <c r="D92" s="230"/>
      <c r="E92" s="152">
        <v>5</v>
      </c>
      <c r="F92" s="191">
        <f>IF(H69&lt;H196,H69,H196)</f>
        <v>46.64</v>
      </c>
      <c r="G92" s="152">
        <v>4</v>
      </c>
      <c r="H92" s="153">
        <f>+H91</f>
        <v>46.515000000000001</v>
      </c>
      <c r="I92" s="154">
        <f>+I91</f>
        <v>80</v>
      </c>
      <c r="J92" s="155">
        <f t="shared" si="183"/>
        <v>1.5625000000000001E-3</v>
      </c>
      <c r="K92" s="154">
        <f>+K91</f>
        <v>1264</v>
      </c>
      <c r="L92" s="153">
        <f t="shared" si="184"/>
        <v>15.456099999999999</v>
      </c>
      <c r="M92" s="156">
        <f t="shared" si="185"/>
        <v>1.5456099999999999E-2</v>
      </c>
      <c r="N92" s="156">
        <f t="shared" si="176"/>
        <v>0.19360987610428701</v>
      </c>
      <c r="O92" s="156">
        <f t="shared" si="177"/>
        <v>7.6224360670979143</v>
      </c>
      <c r="P92" s="157">
        <f t="shared" si="182"/>
        <v>8</v>
      </c>
      <c r="Q92" s="113">
        <f>IF(O92&gt;0,VLOOKUP(P92,'$ alcantarillado'!$I$5:$L$22,4,FALSE),"0")</f>
        <v>0.182</v>
      </c>
      <c r="R92" s="160">
        <f t="shared" si="178"/>
        <v>1.3106405528780356E-2</v>
      </c>
      <c r="S92" s="146">
        <f t="shared" si="179"/>
        <v>1.1792783281472521</v>
      </c>
      <c r="T92" s="145">
        <f>+IF(S92&gt;$B$13,VLOOKUP(P92,'$ alcantarillado'!$I$6:$N$22,5),P92)</f>
        <v>10</v>
      </c>
      <c r="U92" s="113">
        <f>IF(O92&gt;0,VLOOKUP(T92,'$ alcantarillado'!$I$5:$L$22,4),"0")</f>
        <v>0.22700000000000001</v>
      </c>
      <c r="V92" s="113">
        <f t="shared" si="180"/>
        <v>2.3624476083504924E-2</v>
      </c>
      <c r="W92" s="146">
        <f t="shared" si="181"/>
        <v>0.65424096370931817</v>
      </c>
      <c r="X92" s="146">
        <f t="shared" si="186"/>
        <v>0.5837415275508655</v>
      </c>
      <c r="Y92" s="113">
        <f>IF(T92&gt;0,(VLOOKUP($W92,Relaciones!$A$4:$D$108,2)),"")</f>
        <v>0.92200000000000004</v>
      </c>
      <c r="Z92" s="146">
        <f t="shared" si="187"/>
        <v>0.53820968840189798</v>
      </c>
      <c r="AA92" s="146">
        <f t="shared" si="188"/>
        <v>8.8671875000000011E-2</v>
      </c>
      <c r="AB92" s="147" t="str">
        <f t="shared" si="189"/>
        <v>OK</v>
      </c>
      <c r="AC92" s="147" t="str">
        <f t="shared" si="190"/>
        <v>OK</v>
      </c>
      <c r="AD92" s="147" t="str">
        <f t="shared" si="191"/>
        <v>No Cumple</v>
      </c>
      <c r="AE92" s="148">
        <f t="shared" si="192"/>
        <v>1</v>
      </c>
      <c r="AF92" s="148">
        <f t="shared" si="192"/>
        <v>1</v>
      </c>
      <c r="AG92" s="148">
        <f t="shared" si="192"/>
        <v>0</v>
      </c>
      <c r="AH92" s="148">
        <f t="shared" si="193"/>
        <v>2</v>
      </c>
      <c r="AI92" s="147">
        <f t="shared" si="194"/>
        <v>0</v>
      </c>
      <c r="AJ92" s="158">
        <f>IF(AI92&gt;0,I92*VLOOKUP(T92,'$ alcantarillado'!$I$6:$K$22,3),0)</f>
        <v>0</v>
      </c>
      <c r="AK92" s="149">
        <f t="shared" si="136"/>
        <v>0</v>
      </c>
      <c r="AL92" s="149">
        <f t="shared" si="137"/>
        <v>0</v>
      </c>
      <c r="AM92" s="158">
        <f t="shared" si="195"/>
        <v>0</v>
      </c>
      <c r="AN92" s="181">
        <f>IF(AP68&gt;0,IF(AP196&gt;0,AP68+AP196,0),0)</f>
        <v>22514139.33366669</v>
      </c>
      <c r="AO92" s="159" t="str">
        <f t="shared" si="82"/>
        <v/>
      </c>
      <c r="AP92" s="220"/>
      <c r="AQ92" s="154"/>
      <c r="AR92" s="166"/>
    </row>
    <row r="93" spans="1:44" x14ac:dyDescent="0.25">
      <c r="A93" s="230"/>
      <c r="B93" s="230"/>
      <c r="C93" s="230"/>
      <c r="D93" s="230"/>
      <c r="E93" s="127">
        <v>1</v>
      </c>
      <c r="F93" s="189">
        <f>IF(H49&lt;H176,H49,H176)</f>
        <v>47.14</v>
      </c>
      <c r="G93" s="127">
        <v>5</v>
      </c>
      <c r="H93" s="132">
        <f>+H83-2*$B$15</f>
        <v>46.39</v>
      </c>
      <c r="I93" s="142">
        <f>+I88</f>
        <v>80</v>
      </c>
      <c r="J93" s="143">
        <f>+(F93-H93)/I93</f>
        <v>9.3749999999999997E-3</v>
      </c>
      <c r="K93" s="142">
        <f>+K88</f>
        <v>1264</v>
      </c>
      <c r="L93" s="132">
        <f>IF(K93&lt;38,K93^0.3686*0.7401,IF(K93&lt;235,K93^0.4193*0.6215,IF(K93&lt;932,K93*0.0092+4.2493,K93*0.0069+6.7345)))</f>
        <v>15.456099999999999</v>
      </c>
      <c r="M93" s="133">
        <f>+L93/1000</f>
        <v>1.5456099999999999E-2</v>
      </c>
      <c r="N93" s="133">
        <f t="shared" si="176"/>
        <v>0.13836433100247289</v>
      </c>
      <c r="O93" s="133">
        <f t="shared" si="177"/>
        <v>5.4474146063965705</v>
      </c>
      <c r="P93" s="134">
        <f t="shared" si="182"/>
        <v>6</v>
      </c>
      <c r="Q93" s="135">
        <f>IF(O93&gt;0,VLOOKUP(P93,'$ alcantarillado'!$I$5:$L$22,4,FALSE),"0")</f>
        <v>0.14499999999999999</v>
      </c>
      <c r="R93" s="135">
        <f t="shared" si="178"/>
        <v>1.7512582651542437E-2</v>
      </c>
      <c r="S93" s="136">
        <f t="shared" si="179"/>
        <v>0.88257113799481135</v>
      </c>
      <c r="T93" s="134">
        <f>+IF(S93&gt;$B$13,VLOOKUP(P93,'$ alcantarillado'!$I$6:$N$22,5),P93)</f>
        <v>8</v>
      </c>
      <c r="U93" s="135">
        <f>IF(O93&gt;0,VLOOKUP(T93,'$ alcantarillado'!$I$5:$L$22,4),"0")</f>
        <v>0.182</v>
      </c>
      <c r="V93" s="135">
        <f t="shared" si="180"/>
        <v>3.2104005907504223E-2</v>
      </c>
      <c r="W93" s="136">
        <f t="shared" si="181"/>
        <v>0.48143836144719804</v>
      </c>
      <c r="X93" s="136">
        <f>IF(T93&gt;0,4*V93/(PI()*(U93)^2),"")</f>
        <v>1.2340324195702708</v>
      </c>
      <c r="Y93" s="135">
        <f>IF(T93&gt;0,(VLOOKUP($W93,Relaciones!$A$4:$D$108,2)),"")</f>
        <v>0.84</v>
      </c>
      <c r="Z93" s="136">
        <f>IF(T93&gt;0,Y93*X93,"")</f>
        <v>1.0365872324390275</v>
      </c>
      <c r="AA93" s="136">
        <f>IF(T93&gt;0,250*U93*J93,"")</f>
        <v>0.42656250000000001</v>
      </c>
      <c r="AB93" s="137" t="str">
        <f>IF(T93&gt;0,IF(W93&lt;=$B$13,"OK","No Cumple"),"")</f>
        <v>OK</v>
      </c>
      <c r="AC93" s="137" t="str">
        <f>IF(T93&gt;0,IF(Z93&gt;=$B$12,"OK","No Cumple"),"")</f>
        <v>OK</v>
      </c>
      <c r="AD93" s="137" t="str">
        <f>IF(T93&gt;0,IF(AA93&gt;$B$14,"OK","No Cumple"),"")</f>
        <v>OK</v>
      </c>
      <c r="AE93" s="138">
        <f>+IF(AB93="OK",1,0)</f>
        <v>1</v>
      </c>
      <c r="AF93" s="138">
        <f>+IF(AC93="OK",1,0)</f>
        <v>1</v>
      </c>
      <c r="AG93" s="138">
        <f>+IF(AD93="OK",1,0)</f>
        <v>1</v>
      </c>
      <c r="AH93" s="138">
        <f>SUM(AE93:AG93)</f>
        <v>3</v>
      </c>
      <c r="AI93" s="137">
        <f>IF(AH93=3,2*$B$7+U93,0)</f>
        <v>0.68199999999999994</v>
      </c>
      <c r="AJ93" s="139">
        <f>IF(AI93&gt;0,I93*VLOOKUP(T93,'$ alcantarillado'!$I$6:$K$22,3),0)</f>
        <v>2654586.666666667</v>
      </c>
      <c r="AK93" s="139">
        <f t="shared" si="136"/>
        <v>3508971.8400000031</v>
      </c>
      <c r="AL93" s="139">
        <f t="shared" si="137"/>
        <v>1488095.4920000019</v>
      </c>
      <c r="AM93" s="139">
        <f>IF(AJ93&gt;0,AJ93+AK93+AL93,0)</f>
        <v>7651653.998666672</v>
      </c>
      <c r="AN93" s="180">
        <f>IF(AP48&gt;0,IF(AP176&gt;0,AP48+AP176,0),0)</f>
        <v>0</v>
      </c>
      <c r="AO93" s="140" t="str">
        <f>IF((AM93)&gt;0,IF(AN93&gt;0,AM93+AN93,""),"")</f>
        <v/>
      </c>
      <c r="AP93" s="217">
        <f>+MIN(AO93:AO97)</f>
        <v>31007687.427666698</v>
      </c>
      <c r="AQ93" s="142"/>
      <c r="AR93" s="165"/>
    </row>
    <row r="94" spans="1:44" x14ac:dyDescent="0.25">
      <c r="A94" s="230"/>
      <c r="B94" s="230"/>
      <c r="C94" s="230"/>
      <c r="D94" s="230"/>
      <c r="E94" s="141">
        <v>2</v>
      </c>
      <c r="F94" s="190">
        <f>IF(H54&lt;H182,H54,H182)</f>
        <v>47.015000000000001</v>
      </c>
      <c r="G94" s="141">
        <v>5</v>
      </c>
      <c r="H94" s="128">
        <f>+H93</f>
        <v>46.39</v>
      </c>
      <c r="I94" s="142">
        <f>+I93</f>
        <v>80</v>
      </c>
      <c r="J94" s="143">
        <f t="shared" si="183"/>
        <v>7.8125E-3</v>
      </c>
      <c r="K94" s="142">
        <f>+K93</f>
        <v>1264</v>
      </c>
      <c r="L94" s="128">
        <f t="shared" si="184"/>
        <v>15.456099999999999</v>
      </c>
      <c r="M94" s="144">
        <f t="shared" ref="M94:M97" si="198">+L94/1000</f>
        <v>1.5456099999999999E-2</v>
      </c>
      <c r="N94" s="144">
        <f t="shared" si="176"/>
        <v>0.1431761338954268</v>
      </c>
      <c r="O94" s="144">
        <f t="shared" si="177"/>
        <v>5.6368556651742834</v>
      </c>
      <c r="P94" s="145">
        <f t="shared" si="182"/>
        <v>6</v>
      </c>
      <c r="Q94" s="113">
        <f>IF(O94&gt;0,VLOOKUP(P94,'$ alcantarillado'!$I$5:$L$22,4,FALSE),"0")</f>
        <v>0.14499999999999999</v>
      </c>
      <c r="R94" s="113">
        <f t="shared" si="178"/>
        <v>1.5986727597372376E-2</v>
      </c>
      <c r="S94" s="146">
        <f t="shared" si="179"/>
        <v>0.96680824176552593</v>
      </c>
      <c r="T94" s="145">
        <f>+IF(S94&gt;$B$13,VLOOKUP(P94,'$ alcantarillado'!$I$6:$N$22,5),P94)</f>
        <v>8</v>
      </c>
      <c r="U94" s="113">
        <f>IF(O94&gt;0,VLOOKUP(T94,'$ alcantarillado'!$I$5:$L$22,4),"0")</f>
        <v>0.182</v>
      </c>
      <c r="V94" s="113">
        <f t="shared" si="180"/>
        <v>2.9306813703031953E-2</v>
      </c>
      <c r="W94" s="146">
        <f t="shared" si="181"/>
        <v>0.52738930122591177</v>
      </c>
      <c r="X94" s="146">
        <f t="shared" ref="X94:X97" si="199">IF(T94&gt;0,4*V94/(PI()*(U94)^2),"")</f>
        <v>1.1265123214855279</v>
      </c>
      <c r="Y94" s="113">
        <f>IF(T94&gt;0,(VLOOKUP($W94,Relaciones!$A$4:$D$108,2)),"")</f>
        <v>0.86</v>
      </c>
      <c r="Z94" s="146">
        <f t="shared" ref="Z94:Z97" si="200">IF(T94&gt;0,Y94*X94,"")</f>
        <v>0.96880059647755401</v>
      </c>
      <c r="AA94" s="146">
        <f t="shared" ref="AA94:AA97" si="201">IF(T94&gt;0,250*U94*J94,"")</f>
        <v>0.35546875</v>
      </c>
      <c r="AB94" s="147" t="str">
        <f t="shared" ref="AB94:AB97" si="202">IF(T94&gt;0,IF(W94&lt;=$B$13,"OK","No Cumple"),"")</f>
        <v>OK</v>
      </c>
      <c r="AC94" s="147" t="str">
        <f t="shared" ref="AC94:AC97" si="203">IF(T94&gt;0,IF(Z94&gt;=$B$12,"OK","No Cumple"),"")</f>
        <v>OK</v>
      </c>
      <c r="AD94" s="147" t="str">
        <f t="shared" ref="AD94:AD97" si="204">IF(T94&gt;0,IF(AA94&gt;$B$14,"OK","No Cumple"),"")</f>
        <v>OK</v>
      </c>
      <c r="AE94" s="148">
        <f t="shared" ref="AE94:AG97" si="205">+IF(AB94="OK",1,0)</f>
        <v>1</v>
      </c>
      <c r="AF94" s="148">
        <f t="shared" si="205"/>
        <v>1</v>
      </c>
      <c r="AG94" s="148">
        <f t="shared" si="205"/>
        <v>1</v>
      </c>
      <c r="AH94" s="148">
        <f t="shared" ref="AH94:AH97" si="206">SUM(AE94:AG94)</f>
        <v>3</v>
      </c>
      <c r="AI94" s="147">
        <f t="shared" ref="AI94:AI97" si="207">IF(AH94=3,2*$B$7+U94,0)</f>
        <v>0.68199999999999994</v>
      </c>
      <c r="AJ94" s="149">
        <f>IF(AI94&gt;0,I94*VLOOKUP(T94,'$ alcantarillado'!$I$6:$K$22,3),0)</f>
        <v>2654586.666666667</v>
      </c>
      <c r="AK94" s="149">
        <f t="shared" si="136"/>
        <v>3631731.840000004</v>
      </c>
      <c r="AL94" s="149">
        <f t="shared" si="137"/>
        <v>1575343.1170000019</v>
      </c>
      <c r="AM94" s="149">
        <f t="shared" si="195"/>
        <v>7861661.6236666739</v>
      </c>
      <c r="AN94" s="180">
        <f>IF(AP53&gt;0,IF(AP181&gt;0,AP53+AP181,0),0)</f>
        <v>23146025.804000024</v>
      </c>
      <c r="AO94" s="150">
        <f t="shared" si="82"/>
        <v>31007687.427666698</v>
      </c>
      <c r="AP94" s="218"/>
      <c r="AQ94" s="142"/>
      <c r="AR94" s="165"/>
    </row>
    <row r="95" spans="1:44" x14ac:dyDescent="0.25">
      <c r="A95" s="230"/>
      <c r="B95" s="230"/>
      <c r="C95" s="230"/>
      <c r="D95" s="230"/>
      <c r="E95" s="151">
        <v>3</v>
      </c>
      <c r="F95" s="190">
        <f>IF(H60&lt;H187,H60,H187)</f>
        <v>46.89</v>
      </c>
      <c r="G95" s="151">
        <v>5</v>
      </c>
      <c r="H95" s="128">
        <f t="shared" ref="H95:I96" si="208">+H94</f>
        <v>46.39</v>
      </c>
      <c r="I95" s="142">
        <f t="shared" si="208"/>
        <v>80</v>
      </c>
      <c r="J95" s="143">
        <f t="shared" si="183"/>
        <v>6.2500000000000003E-3</v>
      </c>
      <c r="K95" s="142">
        <f t="shared" ref="K95:K96" si="209">+K94</f>
        <v>1264</v>
      </c>
      <c r="L95" s="128">
        <f t="shared" si="184"/>
        <v>15.456099999999999</v>
      </c>
      <c r="M95" s="144">
        <f t="shared" si="198"/>
        <v>1.5456099999999999E-2</v>
      </c>
      <c r="N95" s="144">
        <f t="shared" si="176"/>
        <v>0.14929362341696081</v>
      </c>
      <c r="O95" s="144">
        <f t="shared" si="177"/>
        <v>5.8777017093291661</v>
      </c>
      <c r="P95" s="145">
        <f t="shared" si="182"/>
        <v>6</v>
      </c>
      <c r="Q95" s="113">
        <f>IF(O95&gt;0,VLOOKUP(P95,'$ alcantarillado'!$I$5:$L$22,4,FALSE),"0")</f>
        <v>0.14499999999999999</v>
      </c>
      <c r="R95" s="113">
        <f t="shared" si="178"/>
        <v>1.4298963858198607E-2</v>
      </c>
      <c r="S95" s="146">
        <f t="shared" si="179"/>
        <v>1.0809244748973839</v>
      </c>
      <c r="T95" s="145">
        <f>+IF(S95&gt;$B$13,VLOOKUP(P95,'$ alcantarillado'!$I$6:$N$22,5),P95)</f>
        <v>8</v>
      </c>
      <c r="U95" s="113">
        <f>IF(O95&gt;0,VLOOKUP(T95,'$ alcantarillado'!$I$5:$L$22,4),"0")</f>
        <v>0.182</v>
      </c>
      <c r="V95" s="113">
        <f t="shared" si="180"/>
        <v>2.6212811057560712E-2</v>
      </c>
      <c r="W95" s="146">
        <f t="shared" si="181"/>
        <v>0.58963916407362604</v>
      </c>
      <c r="X95" s="146">
        <f t="shared" si="199"/>
        <v>1.0075832513330949</v>
      </c>
      <c r="Y95" s="113">
        <f>IF(T95&gt;0,(VLOOKUP($W95,Relaciones!$A$4:$D$108,2)),"")</f>
        <v>0.89</v>
      </c>
      <c r="Z95" s="146">
        <f t="shared" si="200"/>
        <v>0.8967490936864545</v>
      </c>
      <c r="AA95" s="146">
        <f t="shared" si="201"/>
        <v>0.28437499999999999</v>
      </c>
      <c r="AB95" s="147" t="str">
        <f t="shared" si="202"/>
        <v>OK</v>
      </c>
      <c r="AC95" s="147" t="str">
        <f t="shared" si="203"/>
        <v>OK</v>
      </c>
      <c r="AD95" s="147" t="str">
        <f t="shared" si="204"/>
        <v>OK</v>
      </c>
      <c r="AE95" s="148">
        <f t="shared" si="205"/>
        <v>1</v>
      </c>
      <c r="AF95" s="148">
        <f t="shared" si="205"/>
        <v>1</v>
      </c>
      <c r="AG95" s="148">
        <f t="shared" si="205"/>
        <v>1</v>
      </c>
      <c r="AH95" s="148">
        <f t="shared" si="206"/>
        <v>3</v>
      </c>
      <c r="AI95" s="147">
        <f t="shared" si="207"/>
        <v>0.68199999999999994</v>
      </c>
      <c r="AJ95" s="149">
        <f>IF(AI95&gt;0,I95*VLOOKUP(T95,'$ alcantarillado'!$I$6:$K$22,3),0)</f>
        <v>2654586.666666667</v>
      </c>
      <c r="AK95" s="149">
        <f t="shared" si="136"/>
        <v>3754491.8400000036</v>
      </c>
      <c r="AL95" s="149">
        <f t="shared" si="137"/>
        <v>1662590.7420000019</v>
      </c>
      <c r="AM95" s="149">
        <f t="shared" si="195"/>
        <v>8071669.248666672</v>
      </c>
      <c r="AN95" s="180">
        <f>IF(AP58&gt;0,IF(AP186&gt;0,AP58+AP186,0),0)</f>
        <v>23265455.804000024</v>
      </c>
      <c r="AO95" s="150">
        <f t="shared" si="82"/>
        <v>31337125.052666694</v>
      </c>
      <c r="AP95" s="219"/>
      <c r="AQ95" s="142">
        <v>2</v>
      </c>
      <c r="AR95" s="165">
        <v>5</v>
      </c>
    </row>
    <row r="96" spans="1:44" x14ac:dyDescent="0.25">
      <c r="A96" s="230"/>
      <c r="B96" s="230"/>
      <c r="C96" s="230"/>
      <c r="D96" s="230"/>
      <c r="E96" s="151">
        <v>4</v>
      </c>
      <c r="F96" s="190">
        <f>IF(H64&lt;H193,H64,H193)</f>
        <v>46.765000000000001</v>
      </c>
      <c r="G96" s="151">
        <v>5</v>
      </c>
      <c r="H96" s="128">
        <f t="shared" si="208"/>
        <v>46.39</v>
      </c>
      <c r="I96" s="142">
        <f t="shared" si="208"/>
        <v>80</v>
      </c>
      <c r="J96" s="143">
        <f>+(F96-H96)/I96</f>
        <v>4.6874999999999998E-3</v>
      </c>
      <c r="K96" s="142">
        <f t="shared" si="209"/>
        <v>1264</v>
      </c>
      <c r="L96" s="128">
        <f t="shared" si="184"/>
        <v>15.456099999999999</v>
      </c>
      <c r="M96" s="144">
        <f t="shared" si="198"/>
        <v>1.5456099999999999E-2</v>
      </c>
      <c r="N96" s="144">
        <f t="shared" si="176"/>
        <v>0.15756772760132909</v>
      </c>
      <c r="O96" s="144">
        <f t="shared" si="177"/>
        <v>6.2034538425720118</v>
      </c>
      <c r="P96" s="145">
        <f t="shared" si="182"/>
        <v>8</v>
      </c>
      <c r="Q96" s="113">
        <f>IF(O96&gt;0,VLOOKUP(P96,'$ alcantarillado'!$I$5:$L$22,4,FALSE),"0")</f>
        <v>0.182</v>
      </c>
      <c r="R96" s="113">
        <f t="shared" si="178"/>
        <v>2.2700960280449212E-2</v>
      </c>
      <c r="S96" s="146">
        <f t="shared" si="179"/>
        <v>0.68085666020530788</v>
      </c>
      <c r="T96" s="145">
        <f>+IF(S96&gt;$B$13,VLOOKUP(P96,'$ alcantarillado'!$I$6:$N$22,5),P96)</f>
        <v>8</v>
      </c>
      <c r="U96" s="113">
        <f>IF(O96&gt;0,VLOOKUP(T96,'$ alcantarillado'!$I$5:$L$22,4),"0")</f>
        <v>0.182</v>
      </c>
      <c r="V96" s="113">
        <f t="shared" si="180"/>
        <v>2.2700960280449212E-2</v>
      </c>
      <c r="W96" s="146">
        <f t="shared" si="181"/>
        <v>0.68085666020530788</v>
      </c>
      <c r="X96" s="146">
        <f t="shared" si="199"/>
        <v>0.87259269208218104</v>
      </c>
      <c r="Y96" s="113">
        <f>IF(T96&gt;0,(VLOOKUP($W96,Relaciones!$A$4:$D$108,2)),"")</f>
        <v>0.93600000000000005</v>
      </c>
      <c r="Z96" s="146">
        <f t="shared" si="200"/>
        <v>0.81674675978892153</v>
      </c>
      <c r="AA96" s="146">
        <f t="shared" si="201"/>
        <v>0.21328125000000001</v>
      </c>
      <c r="AB96" s="147" t="str">
        <f t="shared" si="202"/>
        <v>OK</v>
      </c>
      <c r="AC96" s="147" t="str">
        <f t="shared" si="203"/>
        <v>OK</v>
      </c>
      <c r="AD96" s="147" t="str">
        <f t="shared" si="204"/>
        <v>OK</v>
      </c>
      <c r="AE96" s="148">
        <f t="shared" si="205"/>
        <v>1</v>
      </c>
      <c r="AF96" s="148">
        <f t="shared" si="205"/>
        <v>1</v>
      </c>
      <c r="AG96" s="148">
        <f t="shared" si="205"/>
        <v>1</v>
      </c>
      <c r="AH96" s="148">
        <f t="shared" si="206"/>
        <v>3</v>
      </c>
      <c r="AI96" s="147">
        <f t="shared" si="207"/>
        <v>0.68199999999999994</v>
      </c>
      <c r="AJ96" s="149">
        <f>IF(AI96&gt;0,I96*VLOOKUP(T96,'$ alcantarillado'!$I$6:$K$22,3),0)</f>
        <v>2654586.666666667</v>
      </c>
      <c r="AK96" s="149">
        <f t="shared" si="136"/>
        <v>3877251.8400000031</v>
      </c>
      <c r="AL96" s="149">
        <f t="shared" si="137"/>
        <v>1749838.3670000019</v>
      </c>
      <c r="AM96" s="149">
        <f t="shared" si="195"/>
        <v>8281676.873666672</v>
      </c>
      <c r="AN96" s="180">
        <f>IF(AP63&gt;0,IF(AP191&gt;0,AP63+AP191,0),0)</f>
        <v>23384885.804000027</v>
      </c>
      <c r="AO96" s="150">
        <f t="shared" si="82"/>
        <v>31666562.677666701</v>
      </c>
      <c r="AP96" s="219"/>
      <c r="AQ96" s="142"/>
      <c r="AR96" s="165"/>
    </row>
    <row r="97" spans="1:44" ht="15.75" thickBot="1" x14ac:dyDescent="0.3">
      <c r="A97" s="231"/>
      <c r="B97" s="231"/>
      <c r="C97" s="231"/>
      <c r="D97" s="231"/>
      <c r="E97" s="152">
        <v>5</v>
      </c>
      <c r="F97" s="191">
        <f>IF(H71&lt;H196,H71,H196)</f>
        <v>46.64</v>
      </c>
      <c r="G97" s="152">
        <v>5</v>
      </c>
      <c r="H97" s="153">
        <f>+H96</f>
        <v>46.39</v>
      </c>
      <c r="I97" s="154">
        <f>+I96</f>
        <v>80</v>
      </c>
      <c r="J97" s="155">
        <f t="shared" si="183"/>
        <v>3.1250000000000002E-3</v>
      </c>
      <c r="K97" s="154">
        <f>+K96</f>
        <v>1264</v>
      </c>
      <c r="L97" s="153">
        <f t="shared" si="184"/>
        <v>15.456099999999999</v>
      </c>
      <c r="M97" s="156">
        <f t="shared" si="198"/>
        <v>1.5456099999999999E-2</v>
      </c>
      <c r="N97" s="156">
        <f t="shared" si="176"/>
        <v>0.17001388158888045</v>
      </c>
      <c r="O97" s="156">
        <f t="shared" si="177"/>
        <v>6.6934599050740333</v>
      </c>
      <c r="P97" s="157">
        <f t="shared" si="182"/>
        <v>8</v>
      </c>
      <c r="Q97" s="113">
        <f>IF(O97&gt;0,VLOOKUP(P97,'$ alcantarillado'!$I$5:$L$22,4,FALSE),"0")</f>
        <v>0.182</v>
      </c>
      <c r="R97" s="160">
        <f t="shared" si="178"/>
        <v>1.8535256452762897E-2</v>
      </c>
      <c r="S97" s="146">
        <f t="shared" si="179"/>
        <v>0.83387570273925649</v>
      </c>
      <c r="T97" s="145">
        <f>+IF(S97&gt;$B$13,VLOOKUP(P97,'$ alcantarillado'!$I$6:$N$22,5),P97)</f>
        <v>8</v>
      </c>
      <c r="U97" s="113">
        <f>IF(O97&gt;0,VLOOKUP(T97,'$ alcantarillado'!$I$5:$L$22,4),"0")</f>
        <v>0.182</v>
      </c>
      <c r="V97" s="113">
        <f t="shared" si="180"/>
        <v>1.8535256452762897E-2</v>
      </c>
      <c r="W97" s="146">
        <f t="shared" si="181"/>
        <v>0.83387570273925649</v>
      </c>
      <c r="X97" s="146">
        <f t="shared" si="199"/>
        <v>0.71246894962762097</v>
      </c>
      <c r="Y97" s="113">
        <f>IF(T97&gt;0,(VLOOKUP($W97,Relaciones!$A$4:$D$108,2)),"")</f>
        <v>0.99299999999999999</v>
      </c>
      <c r="Z97" s="146">
        <f t="shared" si="200"/>
        <v>0.70748166698022763</v>
      </c>
      <c r="AA97" s="146">
        <f t="shared" si="201"/>
        <v>0.14218749999999999</v>
      </c>
      <c r="AB97" s="147" t="str">
        <f t="shared" si="202"/>
        <v>OK</v>
      </c>
      <c r="AC97" s="147" t="str">
        <f t="shared" si="203"/>
        <v>OK</v>
      </c>
      <c r="AD97" s="147" t="str">
        <f t="shared" si="204"/>
        <v>No Cumple</v>
      </c>
      <c r="AE97" s="148">
        <f t="shared" si="205"/>
        <v>1</v>
      </c>
      <c r="AF97" s="148">
        <f t="shared" si="205"/>
        <v>1</v>
      </c>
      <c r="AG97" s="148">
        <f t="shared" si="205"/>
        <v>0</v>
      </c>
      <c r="AH97" s="148">
        <f t="shared" si="206"/>
        <v>2</v>
      </c>
      <c r="AI97" s="147">
        <f t="shared" si="207"/>
        <v>0</v>
      </c>
      <c r="AJ97" s="158">
        <f>IF(AI97&gt;0,I97*VLOOKUP(T97,'$ alcantarillado'!$I$6:$K$22,3),0)</f>
        <v>0</v>
      </c>
      <c r="AK97" s="149">
        <f t="shared" si="136"/>
        <v>0</v>
      </c>
      <c r="AL97" s="149">
        <f t="shared" si="137"/>
        <v>0</v>
      </c>
      <c r="AM97" s="158">
        <f t="shared" si="195"/>
        <v>0</v>
      </c>
      <c r="AN97" s="180">
        <f>IF(AP68&gt;0,IF(AP196&gt;0,AP68+AP196,0),0)</f>
        <v>22514139.33366669</v>
      </c>
      <c r="AO97" s="159" t="str">
        <f t="shared" si="82"/>
        <v/>
      </c>
      <c r="AP97" s="220"/>
      <c r="AQ97" s="142"/>
      <c r="AR97" s="165"/>
    </row>
    <row r="98" spans="1:44" x14ac:dyDescent="0.25">
      <c r="A98" s="210">
        <v>4</v>
      </c>
      <c r="B98" s="210">
        <f>+C73</f>
        <v>6</v>
      </c>
      <c r="C98" s="210">
        <v>7</v>
      </c>
      <c r="D98" s="210">
        <v>49.09</v>
      </c>
      <c r="E98" s="4">
        <v>1</v>
      </c>
      <c r="F98" s="27">
        <f>+H73</f>
        <v>46.89</v>
      </c>
      <c r="G98" s="4">
        <v>1</v>
      </c>
      <c r="H98" s="64">
        <f>+H108+2*$B$15</f>
        <v>46.015000000000001</v>
      </c>
      <c r="I98" s="7">
        <f t="shared" ref="I98" si="210">+I87</f>
        <v>80</v>
      </c>
      <c r="J98" s="17">
        <f>+(F98-H98)/I98</f>
        <v>1.0937499999999999E-2</v>
      </c>
      <c r="K98" s="7">
        <f>+K87+H5</f>
        <v>1281</v>
      </c>
      <c r="L98" s="14">
        <f>IF(K98&lt;38,K98^0.3686*0.7401,IF(K98&lt;235,K98^0.4193*0.6215,IF(K98&lt;932,K98*0.0092+4.2493,K98*0.0069+6.7345)))</f>
        <v>15.573399999999999</v>
      </c>
      <c r="M98" s="31">
        <f>+L98/1000</f>
        <v>1.5573399999999999E-2</v>
      </c>
      <c r="N98" s="31">
        <f t="shared" si="176"/>
        <v>0.13480405130829018</v>
      </c>
      <c r="O98" s="31">
        <f t="shared" si="177"/>
        <v>5.3072461144996135</v>
      </c>
      <c r="P98" s="57">
        <f t="shared" si="182"/>
        <v>6</v>
      </c>
      <c r="Q98" s="60">
        <f>IF(O98&gt;0,VLOOKUP(P98,'$ alcantarillado'!$I$5:$L$22,4,FALSE),"0")</f>
        <v>0.14499999999999999</v>
      </c>
      <c r="R98" s="60">
        <f t="shared" si="178"/>
        <v>1.8915751187347084E-2</v>
      </c>
      <c r="S98" s="27">
        <f t="shared" si="179"/>
        <v>0.823303280200534</v>
      </c>
      <c r="T98" s="57">
        <f>+IF(S98&gt;$B$13,VLOOKUP(P98,'$ alcantarillado'!$I$6:$N$22,5),P98)</f>
        <v>6</v>
      </c>
      <c r="U98" s="60">
        <f>IF(O98&gt;0,VLOOKUP(T98,'$ alcantarillado'!$I$5:$L$22,4),"0")</f>
        <v>0.14499999999999999</v>
      </c>
      <c r="V98" s="60">
        <f t="shared" si="180"/>
        <v>1.8915751187347084E-2</v>
      </c>
      <c r="W98" s="27">
        <f t="shared" si="181"/>
        <v>0.823303280200534</v>
      </c>
      <c r="X98" s="27">
        <f>IF(T98&gt;0,4*V98/(PI()*(U98)^2),"")</f>
        <v>1.1455068932271779</v>
      </c>
      <c r="Y98" s="60">
        <f>IF(T98&gt;0,(VLOOKUP($W98,Relaciones!$A$4:$D$108,2)),"")</f>
        <v>0.99</v>
      </c>
      <c r="Z98" s="27">
        <f>IF(T98&gt;0,Y98*X98,"")</f>
        <v>1.134051824294906</v>
      </c>
      <c r="AA98" s="27">
        <f>IF(T98&gt;0,250*U98*J98,"")</f>
        <v>0.396484375</v>
      </c>
      <c r="AB98" s="45" t="str">
        <f>IF(T98&gt;0,IF(W98&lt;=$B$13,"OK","No Cumple"),"")</f>
        <v>OK</v>
      </c>
      <c r="AC98" s="45" t="str">
        <f>IF(T98&gt;0,IF(Z98&gt;=$B$12,"OK","No Cumple"),"")</f>
        <v>OK</v>
      </c>
      <c r="AD98" s="45" t="str">
        <f>IF(T98&gt;0,IF(AA98&gt;$B$14,"OK","No Cumple"),"")</f>
        <v>OK</v>
      </c>
      <c r="AE98" s="32">
        <f>+IF(AB98="OK",1,0)</f>
        <v>1</v>
      </c>
      <c r="AF98" s="32">
        <f>+IF(AC98="OK",1,0)</f>
        <v>1</v>
      </c>
      <c r="AG98" s="32">
        <f>+IF(AD98="OK",1,0)</f>
        <v>1</v>
      </c>
      <c r="AH98" s="32">
        <f>SUM(AE98:AG98)</f>
        <v>3</v>
      </c>
      <c r="AI98" s="45">
        <f>IF(AH98=3,2*$B$7+U98,0)</f>
        <v>0.64500000000000002</v>
      </c>
      <c r="AJ98" s="21">
        <f>IF(AI98&gt;0,I98*VLOOKUP(T98,'$ alcantarillado'!$I$6:$K$22,3),0)</f>
        <v>1912173.3333333335</v>
      </c>
      <c r="AK98" s="61">
        <f t="shared" ref="AK98:AK122" si="211">IF(N98&gt;0,((($D$98-F98)+(U98))+(($D$123-H98)+(U98))/2)*AI98*I98*$C$9,0)</f>
        <v>3673404.0000000042</v>
      </c>
      <c r="AL98" s="61">
        <f t="shared" ref="AL98:AL122" si="212">IF(AI98&gt;0,(($D$98-F98)+U98)*$C$10,0)</f>
        <v>1636765.4450000019</v>
      </c>
      <c r="AM98" s="21">
        <f>IF(AJ98&gt;0,AJ98+AK98+AL98,0)</f>
        <v>7222342.7783333398</v>
      </c>
      <c r="AN98" s="49">
        <f>IF(AP73&gt;0,+AP73,0)</f>
        <v>0</v>
      </c>
      <c r="AO98" s="77" t="str">
        <f>IF((AM98)&gt;0,IF(AN98&gt;0,AM98+AN98,""),"")</f>
        <v/>
      </c>
      <c r="AP98" s="213">
        <f t="shared" ref="AP98" si="213">+MIN(AO98:AO102)</f>
        <v>39560751.926333368</v>
      </c>
      <c r="AQ98" s="7"/>
      <c r="AR98" s="8"/>
    </row>
    <row r="99" spans="1:44" x14ac:dyDescent="0.25">
      <c r="A99" s="211"/>
      <c r="B99" s="211"/>
      <c r="C99" s="211"/>
      <c r="D99" s="211"/>
      <c r="E99" s="5">
        <v>2</v>
      </c>
      <c r="F99" s="35">
        <f>+H78</f>
        <v>46.765000000000001</v>
      </c>
      <c r="G99" s="5">
        <v>1</v>
      </c>
      <c r="H99" s="35">
        <f>+H98</f>
        <v>46.015000000000001</v>
      </c>
      <c r="I99" s="2">
        <f>+I98</f>
        <v>80</v>
      </c>
      <c r="J99" s="18">
        <f t="shared" ref="J99:J122" si="214">+(F99-H99)/I99</f>
        <v>9.3749999999999997E-3</v>
      </c>
      <c r="K99" s="2">
        <f>+K98</f>
        <v>1281</v>
      </c>
      <c r="L99" s="15">
        <f t="shared" ref="L99:L122" si="215">IF(K99&lt;38,K99^0.3686*0.7401,IF(K99&lt;235,K99^0.4193*0.6215,IF(K99&lt;932,K99*0.0092+4.2493,K99*0.0069+6.7345)))</f>
        <v>15.573399999999999</v>
      </c>
      <c r="M99" s="33">
        <f t="shared" ref="M99:M102" si="216">+L99/1000</f>
        <v>1.5573399999999999E-2</v>
      </c>
      <c r="N99" s="33">
        <f t="shared" si="176"/>
        <v>0.13875718078738841</v>
      </c>
      <c r="O99" s="33">
        <f t="shared" si="177"/>
        <v>5.4628811333617486</v>
      </c>
      <c r="P99" s="58">
        <f t="shared" si="182"/>
        <v>6</v>
      </c>
      <c r="Q99" s="55">
        <f>IF(O99&gt;0,VLOOKUP(P99,'$ alcantarillado'!$I$5:$L$22,4,FALSE),"0")</f>
        <v>0.14499999999999999</v>
      </c>
      <c r="R99" s="55">
        <f t="shared" si="178"/>
        <v>1.7512582651542437E-2</v>
      </c>
      <c r="S99" s="35">
        <f t="shared" si="179"/>
        <v>0.88926917918804838</v>
      </c>
      <c r="T99" s="58">
        <f>+IF(S99&gt;$B$13,VLOOKUP(P99,'$ alcantarillado'!$I$6:$N$22,5),P99)</f>
        <v>8</v>
      </c>
      <c r="U99" s="55">
        <f>IF(O99&gt;0,VLOOKUP(T99,'$ alcantarillado'!$I$5:$L$22,4),"0")</f>
        <v>0.182</v>
      </c>
      <c r="V99" s="55">
        <f t="shared" si="180"/>
        <v>3.2104005907504223E-2</v>
      </c>
      <c r="W99" s="35">
        <f t="shared" si="181"/>
        <v>0.48509211108635386</v>
      </c>
      <c r="X99" s="35">
        <f t="shared" ref="X99:X102" si="217">IF(T99&gt;0,4*V99/(PI()*(U99)^2),"")</f>
        <v>1.2340324195702708</v>
      </c>
      <c r="Y99" s="55">
        <f>IF(T99&gt;0,(VLOOKUP($W99,Relaciones!$A$4:$D$108,2)),"")</f>
        <v>0.84</v>
      </c>
      <c r="Z99" s="35">
        <f t="shared" ref="Z99:Z102" si="218">IF(T99&gt;0,Y99*X99,"")</f>
        <v>1.0365872324390275</v>
      </c>
      <c r="AA99" s="35">
        <f t="shared" ref="AA99:AA102" si="219">IF(T99&gt;0,250*U99*J99,"")</f>
        <v>0.42656250000000001</v>
      </c>
      <c r="AB99" s="46" t="str">
        <f t="shared" ref="AB99:AB102" si="220">IF(T99&gt;0,IF(W99&lt;=$B$13,"OK","No Cumple"),"")</f>
        <v>OK</v>
      </c>
      <c r="AC99" s="46" t="str">
        <f t="shared" ref="AC99:AC102" si="221">IF(T99&gt;0,IF(Z99&gt;=$B$12,"OK","No Cumple"),"")</f>
        <v>OK</v>
      </c>
      <c r="AD99" s="46" t="str">
        <f t="shared" ref="AD99:AD102" si="222">IF(T99&gt;0,IF(AA99&gt;$B$14,"OK","No Cumple"),"")</f>
        <v>OK</v>
      </c>
      <c r="AE99" s="48">
        <f t="shared" ref="AE99:AG102" si="223">+IF(AB99="OK",1,0)</f>
        <v>1</v>
      </c>
      <c r="AF99" s="48">
        <f t="shared" si="223"/>
        <v>1</v>
      </c>
      <c r="AG99" s="48">
        <f t="shared" si="223"/>
        <v>1</v>
      </c>
      <c r="AH99" s="48">
        <f t="shared" ref="AH99:AH102" si="224">SUM(AE99:AG99)</f>
        <v>3</v>
      </c>
      <c r="AI99" s="46">
        <f t="shared" ref="AI99:AI102" si="225">IF(AH99=3,2*$B$7+U99,0)</f>
        <v>0.68199999999999994</v>
      </c>
      <c r="AJ99" s="20">
        <f>IF(AI99&gt;0,I99*VLOOKUP(T99,'$ alcantarillado'!$I$6:$K$22,3),0)</f>
        <v>2654586.666666667</v>
      </c>
      <c r="AK99" s="20">
        <f t="shared" si="211"/>
        <v>4061391.840000004</v>
      </c>
      <c r="AL99" s="20">
        <f t="shared" si="212"/>
        <v>1749838.3670000019</v>
      </c>
      <c r="AM99" s="20">
        <f t="shared" ref="AM99:AM122" si="226">IF(AJ99&gt;0,AJ99+AK99+AL99,0)</f>
        <v>8465816.8736666739</v>
      </c>
      <c r="AN99" s="50">
        <f>+AP78</f>
        <v>0</v>
      </c>
      <c r="AO99" s="78" t="str">
        <f t="shared" si="82"/>
        <v/>
      </c>
      <c r="AP99" s="214"/>
      <c r="AQ99" s="2">
        <v>3</v>
      </c>
      <c r="AR99" s="9">
        <v>1</v>
      </c>
    </row>
    <row r="100" spans="1:44" x14ac:dyDescent="0.25">
      <c r="A100" s="211"/>
      <c r="B100" s="211"/>
      <c r="C100" s="211"/>
      <c r="D100" s="211"/>
      <c r="E100" s="56">
        <v>3</v>
      </c>
      <c r="F100" s="35">
        <f>+H83</f>
        <v>46.64</v>
      </c>
      <c r="G100" s="56">
        <v>1</v>
      </c>
      <c r="H100" s="2">
        <f t="shared" ref="H100:I101" si="227">+H99</f>
        <v>46.015000000000001</v>
      </c>
      <c r="I100" s="2">
        <f t="shared" si="227"/>
        <v>80</v>
      </c>
      <c r="J100" s="18">
        <f t="shared" si="214"/>
        <v>7.8125E-3</v>
      </c>
      <c r="K100" s="2">
        <f t="shared" ref="K100:K101" si="228">+K99</f>
        <v>1281</v>
      </c>
      <c r="L100" s="15">
        <f t="shared" si="215"/>
        <v>15.573399999999999</v>
      </c>
      <c r="M100" s="33">
        <f t="shared" si="216"/>
        <v>1.5573399999999999E-2</v>
      </c>
      <c r="N100" s="33">
        <f t="shared" si="176"/>
        <v>0.14358264555199565</v>
      </c>
      <c r="O100" s="33">
        <f t="shared" si="177"/>
        <v>5.6528600611021913</v>
      </c>
      <c r="P100" s="58">
        <f t="shared" si="182"/>
        <v>6</v>
      </c>
      <c r="Q100" s="55">
        <f>IF(O100&gt;0,VLOOKUP(P100,'$ alcantarillado'!$I$5:$L$22,4,FALSE),"0")</f>
        <v>0.14499999999999999</v>
      </c>
      <c r="R100" s="55">
        <f t="shared" si="178"/>
        <v>1.5986727597372376E-2</v>
      </c>
      <c r="S100" s="35">
        <f t="shared" si="179"/>
        <v>0.97414557827079551</v>
      </c>
      <c r="T100" s="58">
        <f>+IF(S100&gt;$B$13,VLOOKUP(P100,'$ alcantarillado'!$I$6:$N$22,5),P100)</f>
        <v>8</v>
      </c>
      <c r="U100" s="55">
        <f>IF(O100&gt;0,VLOOKUP(T100,'$ alcantarillado'!$I$5:$L$22,4),"0")</f>
        <v>0.182</v>
      </c>
      <c r="V100" s="55">
        <f t="shared" si="180"/>
        <v>2.9306813703031953E-2</v>
      </c>
      <c r="W100" s="35">
        <f t="shared" si="181"/>
        <v>0.53139178341959581</v>
      </c>
      <c r="X100" s="35">
        <f t="shared" si="217"/>
        <v>1.1265123214855279</v>
      </c>
      <c r="Y100" s="55">
        <f>IF(T100&gt;0,(VLOOKUP($W100,Relaciones!$A$4:$D$108,2)),"")</f>
        <v>0.86499999999999999</v>
      </c>
      <c r="Z100" s="35">
        <f t="shared" si="218"/>
        <v>0.97443315808498165</v>
      </c>
      <c r="AA100" s="35">
        <f t="shared" si="219"/>
        <v>0.35546875</v>
      </c>
      <c r="AB100" s="46" t="str">
        <f t="shared" si="220"/>
        <v>OK</v>
      </c>
      <c r="AC100" s="46" t="str">
        <f t="shared" si="221"/>
        <v>OK</v>
      </c>
      <c r="AD100" s="46" t="str">
        <f t="shared" si="222"/>
        <v>OK</v>
      </c>
      <c r="AE100" s="48">
        <f t="shared" si="223"/>
        <v>1</v>
      </c>
      <c r="AF100" s="48">
        <f t="shared" si="223"/>
        <v>1</v>
      </c>
      <c r="AG100" s="48">
        <f t="shared" si="223"/>
        <v>1</v>
      </c>
      <c r="AH100" s="48">
        <f t="shared" si="224"/>
        <v>3</v>
      </c>
      <c r="AI100" s="46">
        <f t="shared" si="225"/>
        <v>0.68199999999999994</v>
      </c>
      <c r="AJ100" s="20">
        <f>IF(AI100&gt;0,I100*VLOOKUP(T100,'$ alcantarillado'!$I$6:$K$22,3),0)</f>
        <v>2654586.666666667</v>
      </c>
      <c r="AK100" s="20">
        <f t="shared" si="211"/>
        <v>4184151.8400000036</v>
      </c>
      <c r="AL100" s="20">
        <f t="shared" si="212"/>
        <v>1837085.9920000019</v>
      </c>
      <c r="AM100" s="20">
        <f t="shared" si="226"/>
        <v>8675824.498666672</v>
      </c>
      <c r="AN100" s="50">
        <f>+AP83</f>
        <v>30884927.427666694</v>
      </c>
      <c r="AO100" s="78">
        <f t="shared" si="82"/>
        <v>39560751.926333368</v>
      </c>
      <c r="AP100" s="215"/>
      <c r="AQ100" s="2"/>
      <c r="AR100" s="9"/>
    </row>
    <row r="101" spans="1:44" x14ac:dyDescent="0.25">
      <c r="A101" s="211"/>
      <c r="B101" s="211"/>
      <c r="C101" s="211"/>
      <c r="D101" s="211"/>
      <c r="E101" s="56">
        <v>4</v>
      </c>
      <c r="F101" s="35">
        <f>+H88</f>
        <v>46.515000000000001</v>
      </c>
      <c r="G101" s="56">
        <v>1</v>
      </c>
      <c r="H101" s="2">
        <f t="shared" si="227"/>
        <v>46.015000000000001</v>
      </c>
      <c r="I101" s="2">
        <f t="shared" si="227"/>
        <v>80</v>
      </c>
      <c r="J101" s="18">
        <f>+(F101-H101)/I101</f>
        <v>6.2500000000000003E-3</v>
      </c>
      <c r="K101" s="2">
        <f t="shared" si="228"/>
        <v>1281</v>
      </c>
      <c r="L101" s="15">
        <f t="shared" si="215"/>
        <v>15.573399999999999</v>
      </c>
      <c r="M101" s="33">
        <f t="shared" si="216"/>
        <v>1.5573399999999999E-2</v>
      </c>
      <c r="N101" s="33">
        <f t="shared" si="176"/>
        <v>0.14971750410516779</v>
      </c>
      <c r="O101" s="33">
        <f t="shared" si="177"/>
        <v>5.8943899254003069</v>
      </c>
      <c r="P101" s="58">
        <f t="shared" si="182"/>
        <v>6</v>
      </c>
      <c r="Q101" s="55">
        <f>IF(O101&gt;0,VLOOKUP(P101,'$ alcantarillado'!$I$5:$L$22,4,FALSE),"0")</f>
        <v>0.14499999999999999</v>
      </c>
      <c r="R101" s="55">
        <f t="shared" si="178"/>
        <v>1.4298963858198607E-2</v>
      </c>
      <c r="S101" s="35">
        <f t="shared" si="179"/>
        <v>1.0891278664971706</v>
      </c>
      <c r="T101" s="58">
        <f>+IF(S101&gt;$B$13,VLOOKUP(P101,'$ alcantarillado'!$I$6:$N$22,5),P101)</f>
        <v>8</v>
      </c>
      <c r="U101" s="55">
        <f>IF(O101&gt;0,VLOOKUP(T101,'$ alcantarillado'!$I$5:$L$22,4),"0")</f>
        <v>0.182</v>
      </c>
      <c r="V101" s="55">
        <f t="shared" si="180"/>
        <v>2.6212811057560712E-2</v>
      </c>
      <c r="W101" s="35">
        <f t="shared" si="181"/>
        <v>0.59411407520553094</v>
      </c>
      <c r="X101" s="35">
        <f t="shared" si="217"/>
        <v>1.0075832513330949</v>
      </c>
      <c r="Y101" s="55">
        <f>IF(T101&gt;0,(VLOOKUP($W101,Relaciones!$A$4:$D$108,2)),"")</f>
        <v>0.89500000000000002</v>
      </c>
      <c r="Z101" s="35">
        <f t="shared" si="218"/>
        <v>0.90178700994312</v>
      </c>
      <c r="AA101" s="35">
        <f t="shared" si="219"/>
        <v>0.28437499999999999</v>
      </c>
      <c r="AB101" s="46" t="str">
        <f t="shared" si="220"/>
        <v>OK</v>
      </c>
      <c r="AC101" s="46" t="str">
        <f t="shared" si="221"/>
        <v>OK</v>
      </c>
      <c r="AD101" s="46" t="str">
        <f t="shared" si="222"/>
        <v>OK</v>
      </c>
      <c r="AE101" s="48">
        <f t="shared" si="223"/>
        <v>1</v>
      </c>
      <c r="AF101" s="48">
        <f t="shared" si="223"/>
        <v>1</v>
      </c>
      <c r="AG101" s="48">
        <f t="shared" si="223"/>
        <v>1</v>
      </c>
      <c r="AH101" s="48">
        <f t="shared" si="224"/>
        <v>3</v>
      </c>
      <c r="AI101" s="46">
        <f t="shared" si="225"/>
        <v>0.68199999999999994</v>
      </c>
      <c r="AJ101" s="20">
        <f>IF(AI101&gt;0,I101*VLOOKUP(T101,'$ alcantarillado'!$I$6:$K$22,3),0)</f>
        <v>2654586.666666667</v>
      </c>
      <c r="AK101" s="20">
        <f t="shared" si="211"/>
        <v>4306911.8400000036</v>
      </c>
      <c r="AL101" s="20">
        <f t="shared" si="212"/>
        <v>1924333.6170000019</v>
      </c>
      <c r="AM101" s="20">
        <f t="shared" si="226"/>
        <v>8885832.123666672</v>
      </c>
      <c r="AN101" s="50">
        <f>+AP88</f>
        <v>30946307.427666694</v>
      </c>
      <c r="AO101" s="78">
        <f t="shared" si="82"/>
        <v>39832139.551333368</v>
      </c>
      <c r="AP101" s="215"/>
      <c r="AQ101" s="2"/>
      <c r="AR101" s="9"/>
    </row>
    <row r="102" spans="1:44" ht="15.75" thickBot="1" x14ac:dyDescent="0.3">
      <c r="A102" s="211"/>
      <c r="B102" s="211"/>
      <c r="C102" s="211"/>
      <c r="D102" s="211"/>
      <c r="E102" s="6">
        <v>5</v>
      </c>
      <c r="F102" s="65">
        <f>+H93</f>
        <v>46.39</v>
      </c>
      <c r="G102" s="6">
        <v>1</v>
      </c>
      <c r="H102" s="10">
        <f>+H101</f>
        <v>46.015000000000001</v>
      </c>
      <c r="I102" s="10">
        <f>+I101</f>
        <v>80</v>
      </c>
      <c r="J102" s="19">
        <f t="shared" si="214"/>
        <v>4.6874999999999998E-3</v>
      </c>
      <c r="K102" s="10">
        <f>+K101</f>
        <v>1281</v>
      </c>
      <c r="L102" s="16">
        <f t="shared" si="215"/>
        <v>15.573399999999999</v>
      </c>
      <c r="M102" s="34">
        <f t="shared" si="216"/>
        <v>1.5573399999999999E-2</v>
      </c>
      <c r="N102" s="34">
        <f t="shared" si="176"/>
        <v>0.15801510047155756</v>
      </c>
      <c r="O102" s="34">
        <f t="shared" si="177"/>
        <v>6.2210669476991169</v>
      </c>
      <c r="P102" s="59">
        <f t="shared" si="182"/>
        <v>8</v>
      </c>
      <c r="Q102" s="55">
        <f>IF(O102&gt;0,VLOOKUP(P102,'$ alcantarillado'!$I$5:$L$22,4,FALSE),"0")</f>
        <v>0.182</v>
      </c>
      <c r="R102" s="55">
        <f t="shared" si="178"/>
        <v>2.2700960280449212E-2</v>
      </c>
      <c r="S102" s="35">
        <f t="shared" si="179"/>
        <v>0.68602384249851789</v>
      </c>
      <c r="T102" s="58">
        <f>+IF(S102&gt;$B$13,VLOOKUP(P102,'$ alcantarillado'!$I$6:$N$22,5),P102)</f>
        <v>8</v>
      </c>
      <c r="U102" s="55">
        <f>IF(O102&gt;0,VLOOKUP(T102,'$ alcantarillado'!$I$5:$L$22,4),"0")</f>
        <v>0.182</v>
      </c>
      <c r="V102" s="55">
        <f t="shared" si="180"/>
        <v>2.2700960280449212E-2</v>
      </c>
      <c r="W102" s="35">
        <f t="shared" si="181"/>
        <v>0.68602384249851789</v>
      </c>
      <c r="X102" s="35">
        <f t="shared" si="217"/>
        <v>0.87259269208218104</v>
      </c>
      <c r="Y102" s="55">
        <f>IF(T102&gt;0,(VLOOKUP($W102,Relaciones!$A$4:$D$108,2)),"")</f>
        <v>0.93600000000000005</v>
      </c>
      <c r="Z102" s="35">
        <f t="shared" si="218"/>
        <v>0.81674675978892153</v>
      </c>
      <c r="AA102" s="35">
        <f t="shared" si="219"/>
        <v>0.21328125000000001</v>
      </c>
      <c r="AB102" s="46" t="str">
        <f t="shared" si="220"/>
        <v>OK</v>
      </c>
      <c r="AC102" s="46" t="str">
        <f t="shared" si="221"/>
        <v>OK</v>
      </c>
      <c r="AD102" s="46" t="str">
        <f t="shared" si="222"/>
        <v>OK</v>
      </c>
      <c r="AE102" s="48">
        <f t="shared" si="223"/>
        <v>1</v>
      </c>
      <c r="AF102" s="48">
        <f t="shared" si="223"/>
        <v>1</v>
      </c>
      <c r="AG102" s="48">
        <f t="shared" si="223"/>
        <v>1</v>
      </c>
      <c r="AH102" s="48">
        <f t="shared" si="224"/>
        <v>3</v>
      </c>
      <c r="AI102" s="46">
        <f t="shared" si="225"/>
        <v>0.68199999999999994</v>
      </c>
      <c r="AJ102" s="22">
        <f>IF(AI102&gt;0,I102*VLOOKUP(T102,'$ alcantarillado'!$I$6:$K$22,3),0)</f>
        <v>2654586.666666667</v>
      </c>
      <c r="AK102" s="20">
        <f t="shared" si="211"/>
        <v>4429671.8400000036</v>
      </c>
      <c r="AL102" s="20">
        <f t="shared" si="212"/>
        <v>2011581.2420000019</v>
      </c>
      <c r="AM102" s="22">
        <f t="shared" si="226"/>
        <v>9095839.748666672</v>
      </c>
      <c r="AN102" s="50">
        <f>+AP93</f>
        <v>31007687.427666698</v>
      </c>
      <c r="AO102" s="79">
        <f t="shared" si="82"/>
        <v>40103527.176333368</v>
      </c>
      <c r="AP102" s="216"/>
      <c r="AQ102" s="10"/>
      <c r="AR102" s="11"/>
    </row>
    <row r="103" spans="1:44" x14ac:dyDescent="0.25">
      <c r="A103" s="211"/>
      <c r="B103" s="211"/>
      <c r="C103" s="211"/>
      <c r="D103" s="211"/>
      <c r="E103" s="4">
        <v>1</v>
      </c>
      <c r="F103" s="27">
        <f>+H73</f>
        <v>46.89</v>
      </c>
      <c r="G103" s="4">
        <v>2</v>
      </c>
      <c r="H103" s="35">
        <f>+H108+$B$15</f>
        <v>45.89</v>
      </c>
      <c r="I103" s="2">
        <f>+I102</f>
        <v>80</v>
      </c>
      <c r="J103" s="18">
        <f>+(F103-H103)/I103</f>
        <v>1.2500000000000001E-2</v>
      </c>
      <c r="K103" s="2">
        <f>+K102</f>
        <v>1281</v>
      </c>
      <c r="L103" s="14">
        <f>IF(K103&lt;38,K103^0.3686*0.7401,IF(K103&lt;235,K103^0.4193*0.6215,IF(K103&lt;932,K103*0.0092+4.2493,K103*0.0069+6.7345)))</f>
        <v>15.573399999999999</v>
      </c>
      <c r="M103" s="31">
        <f>+L103/1000</f>
        <v>1.5573399999999999E-2</v>
      </c>
      <c r="N103" s="31">
        <f t="shared" si="176"/>
        <v>0.13147084501519965</v>
      </c>
      <c r="O103" s="31">
        <f t="shared" si="177"/>
        <v>5.1760175202834509</v>
      </c>
      <c r="P103" s="57">
        <f t="shared" si="182"/>
        <v>6</v>
      </c>
      <c r="Q103" s="60">
        <f>IF(O103&gt;0,VLOOKUP(P103,'$ alcantarillado'!$I$5:$L$22,4,FALSE),"0")</f>
        <v>0.14499999999999999</v>
      </c>
      <c r="R103" s="60">
        <f t="shared" si="178"/>
        <v>2.0221788616147186E-2</v>
      </c>
      <c r="S103" s="27">
        <f t="shared" si="179"/>
        <v>0.77012969997938618</v>
      </c>
      <c r="T103" s="57">
        <f>+IF(S103&gt;$B$13,VLOOKUP(P103,'$ alcantarillado'!$I$6:$N$22,5),P103)</f>
        <v>6</v>
      </c>
      <c r="U103" s="60">
        <f>IF(O103&gt;0,VLOOKUP(T103,'$ alcantarillado'!$I$5:$L$22,4),"0")</f>
        <v>0.14499999999999999</v>
      </c>
      <c r="V103" s="60">
        <f t="shared" si="180"/>
        <v>2.0221788616147186E-2</v>
      </c>
      <c r="W103" s="27">
        <f t="shared" si="181"/>
        <v>0.77012969997938618</v>
      </c>
      <c r="X103" s="27">
        <f>IF(T103&gt;0,4*V103/(PI()*(U103)^2),"")</f>
        <v>1.2245983796125537</v>
      </c>
      <c r="Y103" s="60">
        <f>IF(T103&gt;0,(VLOOKUP($W103,Relaciones!$A$4:$D$108,2)),"")</f>
        <v>0.97199999999999998</v>
      </c>
      <c r="Z103" s="27">
        <f>IF(T103&gt;0,Y103*X103,"")</f>
        <v>1.1903096249834022</v>
      </c>
      <c r="AA103" s="27">
        <f>IF(T103&gt;0,250*U103*J103,"")</f>
        <v>0.453125</v>
      </c>
      <c r="AB103" s="45" t="str">
        <f>IF(T103&gt;0,IF(W103&lt;=$B$13,"OK","No Cumple"),"")</f>
        <v>OK</v>
      </c>
      <c r="AC103" s="45" t="str">
        <f>IF(T103&gt;0,IF(Z103&gt;=$B$12,"OK","No Cumple"),"")</f>
        <v>OK</v>
      </c>
      <c r="AD103" s="45" t="str">
        <f>IF(T103&gt;0,IF(AA103&gt;$B$14,"OK","No Cumple"),"")</f>
        <v>OK</v>
      </c>
      <c r="AE103" s="32">
        <f>+IF(AB103="OK",1,0)</f>
        <v>1</v>
      </c>
      <c r="AF103" s="32">
        <f>+IF(AC103="OK",1,0)</f>
        <v>1</v>
      </c>
      <c r="AG103" s="32">
        <f>+IF(AD103="OK",1,0)</f>
        <v>1</v>
      </c>
      <c r="AH103" s="32">
        <f>SUM(AE103:AG103)</f>
        <v>3</v>
      </c>
      <c r="AI103" s="45">
        <f>IF(AH103=3,2*$B$7+U103,0)</f>
        <v>0.64500000000000002</v>
      </c>
      <c r="AJ103" s="21">
        <f>IF(AI103&gt;0,I103*VLOOKUP(T103,'$ alcantarillado'!$I$6:$K$22,3),0)</f>
        <v>1912173.3333333335</v>
      </c>
      <c r="AK103" s="61">
        <f t="shared" si="211"/>
        <v>3731454.0000000047</v>
      </c>
      <c r="AL103" s="61">
        <f t="shared" si="212"/>
        <v>1636765.4450000019</v>
      </c>
      <c r="AM103" s="21">
        <f>IF(AJ103&gt;0,AJ103+AK103+AL103,0)</f>
        <v>7280392.7783333398</v>
      </c>
      <c r="AN103" s="49">
        <f>IF(AP73&gt;0,+AP73,0)</f>
        <v>0</v>
      </c>
      <c r="AO103" s="77" t="str">
        <f>IF((AM103)&gt;0,IF(AN103&gt;0,AM103+AN103,""),"")</f>
        <v/>
      </c>
      <c r="AP103" s="213">
        <f t="shared" ref="AP103" si="229">+MIN(AO103:AO107)</f>
        <v>39622131.926333368</v>
      </c>
      <c r="AQ103" s="2"/>
      <c r="AR103" s="9"/>
    </row>
    <row r="104" spans="1:44" x14ac:dyDescent="0.25">
      <c r="A104" s="211"/>
      <c r="B104" s="211"/>
      <c r="C104" s="211"/>
      <c r="D104" s="211"/>
      <c r="E104" s="5">
        <v>2</v>
      </c>
      <c r="F104" s="35">
        <f>+H78</f>
        <v>46.765000000000001</v>
      </c>
      <c r="G104" s="5">
        <v>2</v>
      </c>
      <c r="H104" s="35">
        <f>+H103</f>
        <v>45.89</v>
      </c>
      <c r="I104" s="2">
        <f>+I103</f>
        <v>80</v>
      </c>
      <c r="J104" s="18">
        <f t="shared" si="214"/>
        <v>1.0937499999999999E-2</v>
      </c>
      <c r="K104" s="2">
        <f>+K103</f>
        <v>1281</v>
      </c>
      <c r="L104" s="15">
        <f t="shared" si="215"/>
        <v>15.573399999999999</v>
      </c>
      <c r="M104" s="33">
        <f t="shared" ref="M104:M107" si="230">+L104/1000</f>
        <v>1.5573399999999999E-2</v>
      </c>
      <c r="N104" s="33">
        <f t="shared" si="176"/>
        <v>0.13480405130829018</v>
      </c>
      <c r="O104" s="33">
        <f t="shared" si="177"/>
        <v>5.3072461144996135</v>
      </c>
      <c r="P104" s="58">
        <f t="shared" si="182"/>
        <v>6</v>
      </c>
      <c r="Q104" s="55">
        <f>IF(O104&gt;0,VLOOKUP(P104,'$ alcantarillado'!$I$5:$L$22,4,FALSE),"0")</f>
        <v>0.14499999999999999</v>
      </c>
      <c r="R104" s="55">
        <f t="shared" si="178"/>
        <v>1.8915751187347084E-2</v>
      </c>
      <c r="S104" s="35">
        <f t="shared" si="179"/>
        <v>0.823303280200534</v>
      </c>
      <c r="T104" s="58">
        <f>+IF(S104&gt;$B$13,VLOOKUP(P104,'$ alcantarillado'!$I$6:$N$22,5),P104)</f>
        <v>6</v>
      </c>
      <c r="U104" s="55">
        <f>IF(O104&gt;0,VLOOKUP(T104,'$ alcantarillado'!$I$5:$L$22,4),"0")</f>
        <v>0.14499999999999999</v>
      </c>
      <c r="V104" s="55">
        <f t="shared" si="180"/>
        <v>1.8915751187347084E-2</v>
      </c>
      <c r="W104" s="35">
        <f t="shared" si="181"/>
        <v>0.823303280200534</v>
      </c>
      <c r="X104" s="35">
        <f t="shared" ref="X104:X107" si="231">IF(T104&gt;0,4*V104/(PI()*(U104)^2),"")</f>
        <v>1.1455068932271779</v>
      </c>
      <c r="Y104" s="55">
        <f>IF(T104&gt;0,(VLOOKUP($W104,Relaciones!$A$4:$D$108,2)),"")</f>
        <v>0.99</v>
      </c>
      <c r="Z104" s="35">
        <f t="shared" ref="Z104:Z107" si="232">IF(T104&gt;0,Y104*X104,"")</f>
        <v>1.134051824294906</v>
      </c>
      <c r="AA104" s="35">
        <f t="shared" ref="AA104:AA107" si="233">IF(T104&gt;0,250*U104*J104,"")</f>
        <v>0.396484375</v>
      </c>
      <c r="AB104" s="46" t="str">
        <f t="shared" ref="AB104:AB107" si="234">IF(T104&gt;0,IF(W104&lt;=$B$13,"OK","No Cumple"),"")</f>
        <v>OK</v>
      </c>
      <c r="AC104" s="46" t="str">
        <f t="shared" ref="AC104:AC107" si="235">IF(T104&gt;0,IF(Z104&gt;=$B$12,"OK","No Cumple"),"")</f>
        <v>OK</v>
      </c>
      <c r="AD104" s="46" t="str">
        <f t="shared" ref="AD104:AD107" si="236">IF(T104&gt;0,IF(AA104&gt;$B$14,"OK","No Cumple"),"")</f>
        <v>OK</v>
      </c>
      <c r="AE104" s="48">
        <f t="shared" ref="AE104:AG107" si="237">+IF(AB104="OK",1,0)</f>
        <v>1</v>
      </c>
      <c r="AF104" s="48">
        <f t="shared" si="237"/>
        <v>1</v>
      </c>
      <c r="AG104" s="48">
        <f t="shared" si="237"/>
        <v>1</v>
      </c>
      <c r="AH104" s="48">
        <f t="shared" ref="AH104:AH107" si="238">SUM(AE104:AG104)</f>
        <v>3</v>
      </c>
      <c r="AI104" s="46">
        <f t="shared" ref="AI104:AI107" si="239">IF(AH104=3,2*$B$7+U104,0)</f>
        <v>0.64500000000000002</v>
      </c>
      <c r="AJ104" s="20">
        <f>IF(AI104&gt;0,I104*VLOOKUP(T104,'$ alcantarillado'!$I$6:$K$22,3),0)</f>
        <v>1912173.3333333335</v>
      </c>
      <c r="AK104" s="20">
        <f t="shared" si="211"/>
        <v>3847554.0000000042</v>
      </c>
      <c r="AL104" s="20">
        <f t="shared" si="212"/>
        <v>1724013.0700000019</v>
      </c>
      <c r="AM104" s="20">
        <f t="shared" si="226"/>
        <v>7483740.4033333398</v>
      </c>
      <c r="AN104" s="50">
        <f>+AP78</f>
        <v>0</v>
      </c>
      <c r="AO104" s="78" t="str">
        <f t="shared" si="82"/>
        <v/>
      </c>
      <c r="AP104" s="214"/>
      <c r="AQ104" s="2">
        <v>3</v>
      </c>
      <c r="AR104" s="9">
        <v>2</v>
      </c>
    </row>
    <row r="105" spans="1:44" x14ac:dyDescent="0.25">
      <c r="A105" s="211"/>
      <c r="B105" s="211"/>
      <c r="C105" s="211"/>
      <c r="D105" s="211"/>
      <c r="E105" s="56">
        <v>3</v>
      </c>
      <c r="F105" s="35">
        <f>+H83</f>
        <v>46.64</v>
      </c>
      <c r="G105" s="56">
        <v>2</v>
      </c>
      <c r="H105" s="35">
        <f t="shared" ref="H105:I106" si="240">+H104</f>
        <v>45.89</v>
      </c>
      <c r="I105" s="2">
        <f t="shared" si="240"/>
        <v>80</v>
      </c>
      <c r="J105" s="18">
        <f t="shared" si="214"/>
        <v>9.3749999999999997E-3</v>
      </c>
      <c r="K105" s="2">
        <f t="shared" ref="K105:K106" si="241">+K104</f>
        <v>1281</v>
      </c>
      <c r="L105" s="15">
        <f t="shared" si="215"/>
        <v>15.573399999999999</v>
      </c>
      <c r="M105" s="33">
        <f t="shared" si="230"/>
        <v>1.5573399999999999E-2</v>
      </c>
      <c r="N105" s="33">
        <f t="shared" si="176"/>
        <v>0.13875718078738841</v>
      </c>
      <c r="O105" s="33">
        <f t="shared" si="177"/>
        <v>5.4628811333617486</v>
      </c>
      <c r="P105" s="58">
        <f t="shared" si="182"/>
        <v>6</v>
      </c>
      <c r="Q105" s="55">
        <f>IF(O105&gt;0,VLOOKUP(P105,'$ alcantarillado'!$I$5:$L$22,4,FALSE),"0")</f>
        <v>0.14499999999999999</v>
      </c>
      <c r="R105" s="55">
        <f t="shared" si="178"/>
        <v>1.7512582651542437E-2</v>
      </c>
      <c r="S105" s="35">
        <f t="shared" si="179"/>
        <v>0.88926917918804838</v>
      </c>
      <c r="T105" s="58">
        <f>+IF(S105&gt;$B$13,VLOOKUP(P105,'$ alcantarillado'!$I$6:$N$22,5),P105)</f>
        <v>8</v>
      </c>
      <c r="U105" s="55">
        <f>IF(O105&gt;0,VLOOKUP(T105,'$ alcantarillado'!$I$5:$L$22,4),"0")</f>
        <v>0.182</v>
      </c>
      <c r="V105" s="55">
        <f t="shared" si="180"/>
        <v>3.2104005907504223E-2</v>
      </c>
      <c r="W105" s="35">
        <f t="shared" si="181"/>
        <v>0.48509211108635386</v>
      </c>
      <c r="X105" s="35">
        <f t="shared" si="231"/>
        <v>1.2340324195702708</v>
      </c>
      <c r="Y105" s="55">
        <f>IF(T105&gt;0,(VLOOKUP($W105,Relaciones!$A$4:$D$108,2)),"")</f>
        <v>0.84</v>
      </c>
      <c r="Z105" s="35">
        <f t="shared" si="232"/>
        <v>1.0365872324390275</v>
      </c>
      <c r="AA105" s="35">
        <f t="shared" si="233"/>
        <v>0.42656250000000001</v>
      </c>
      <c r="AB105" s="46" t="str">
        <f t="shared" si="234"/>
        <v>OK</v>
      </c>
      <c r="AC105" s="46" t="str">
        <f t="shared" si="235"/>
        <v>OK</v>
      </c>
      <c r="AD105" s="46" t="str">
        <f t="shared" si="236"/>
        <v>OK</v>
      </c>
      <c r="AE105" s="48">
        <f t="shared" si="237"/>
        <v>1</v>
      </c>
      <c r="AF105" s="48">
        <f t="shared" si="237"/>
        <v>1</v>
      </c>
      <c r="AG105" s="48">
        <f t="shared" si="237"/>
        <v>1</v>
      </c>
      <c r="AH105" s="48">
        <f t="shared" si="238"/>
        <v>3</v>
      </c>
      <c r="AI105" s="46">
        <f t="shared" si="239"/>
        <v>0.68199999999999994</v>
      </c>
      <c r="AJ105" s="20">
        <f>IF(AI105&gt;0,I105*VLOOKUP(T105,'$ alcantarillado'!$I$6:$K$22,3),0)</f>
        <v>2654586.666666667</v>
      </c>
      <c r="AK105" s="20">
        <f t="shared" si="211"/>
        <v>4245531.8400000036</v>
      </c>
      <c r="AL105" s="20">
        <f t="shared" si="212"/>
        <v>1837085.9920000019</v>
      </c>
      <c r="AM105" s="20">
        <f t="shared" si="226"/>
        <v>8737204.498666672</v>
      </c>
      <c r="AN105" s="50">
        <f>+AP83</f>
        <v>30884927.427666694</v>
      </c>
      <c r="AO105" s="78">
        <f t="shared" si="82"/>
        <v>39622131.926333368</v>
      </c>
      <c r="AP105" s="215"/>
      <c r="AQ105" s="2"/>
      <c r="AR105" s="9"/>
    </row>
    <row r="106" spans="1:44" x14ac:dyDescent="0.25">
      <c r="A106" s="211"/>
      <c r="B106" s="211"/>
      <c r="C106" s="211"/>
      <c r="D106" s="211"/>
      <c r="E106" s="56">
        <v>4</v>
      </c>
      <c r="F106" s="35">
        <f>+H88</f>
        <v>46.515000000000001</v>
      </c>
      <c r="G106" s="56">
        <v>2</v>
      </c>
      <c r="H106" s="35">
        <f t="shared" si="240"/>
        <v>45.89</v>
      </c>
      <c r="I106" s="2">
        <f t="shared" si="240"/>
        <v>80</v>
      </c>
      <c r="J106" s="18">
        <f>+(F106-H106)/I106</f>
        <v>7.8125E-3</v>
      </c>
      <c r="K106" s="2">
        <f t="shared" si="241"/>
        <v>1281</v>
      </c>
      <c r="L106" s="15">
        <f t="shared" si="215"/>
        <v>15.573399999999999</v>
      </c>
      <c r="M106" s="33">
        <f t="shared" si="230"/>
        <v>1.5573399999999999E-2</v>
      </c>
      <c r="N106" s="33">
        <f t="shared" si="176"/>
        <v>0.14358264555199565</v>
      </c>
      <c r="O106" s="33">
        <f t="shared" si="177"/>
        <v>5.6528600611021913</v>
      </c>
      <c r="P106" s="58">
        <f t="shared" si="182"/>
        <v>6</v>
      </c>
      <c r="Q106" s="55">
        <f>IF(O106&gt;0,VLOOKUP(P106,'$ alcantarillado'!$I$5:$L$22,4,FALSE),"0")</f>
        <v>0.14499999999999999</v>
      </c>
      <c r="R106" s="55">
        <f t="shared" si="178"/>
        <v>1.5986727597372376E-2</v>
      </c>
      <c r="S106" s="35">
        <f t="shared" si="179"/>
        <v>0.97414557827079551</v>
      </c>
      <c r="T106" s="58">
        <f>+IF(S106&gt;$B$13,VLOOKUP(P106,'$ alcantarillado'!$I$6:$N$22,5),P106)</f>
        <v>8</v>
      </c>
      <c r="U106" s="55">
        <f>IF(O106&gt;0,VLOOKUP(T106,'$ alcantarillado'!$I$5:$L$22,4),"0")</f>
        <v>0.182</v>
      </c>
      <c r="V106" s="55">
        <f t="shared" si="180"/>
        <v>2.9306813703031953E-2</v>
      </c>
      <c r="W106" s="35">
        <f t="shared" si="181"/>
        <v>0.53139178341959581</v>
      </c>
      <c r="X106" s="35">
        <f t="shared" si="231"/>
        <v>1.1265123214855279</v>
      </c>
      <c r="Y106" s="55">
        <f>IF(T106&gt;0,(VLOOKUP($W106,Relaciones!$A$4:$D$108,2)),"")</f>
        <v>0.86499999999999999</v>
      </c>
      <c r="Z106" s="35">
        <f t="shared" si="232"/>
        <v>0.97443315808498165</v>
      </c>
      <c r="AA106" s="35">
        <f t="shared" si="233"/>
        <v>0.35546875</v>
      </c>
      <c r="AB106" s="46" t="str">
        <f t="shared" si="234"/>
        <v>OK</v>
      </c>
      <c r="AC106" s="46" t="str">
        <f t="shared" si="235"/>
        <v>OK</v>
      </c>
      <c r="AD106" s="46" t="str">
        <f t="shared" si="236"/>
        <v>OK</v>
      </c>
      <c r="AE106" s="48">
        <f t="shared" si="237"/>
        <v>1</v>
      </c>
      <c r="AF106" s="48">
        <f t="shared" si="237"/>
        <v>1</v>
      </c>
      <c r="AG106" s="48">
        <f t="shared" si="237"/>
        <v>1</v>
      </c>
      <c r="AH106" s="48">
        <f t="shared" si="238"/>
        <v>3</v>
      </c>
      <c r="AI106" s="46">
        <f t="shared" si="239"/>
        <v>0.68199999999999994</v>
      </c>
      <c r="AJ106" s="20">
        <f>IF(AI106&gt;0,I106*VLOOKUP(T106,'$ alcantarillado'!$I$6:$K$22,3),0)</f>
        <v>2654586.666666667</v>
      </c>
      <c r="AK106" s="20">
        <f t="shared" si="211"/>
        <v>4368291.8400000036</v>
      </c>
      <c r="AL106" s="20">
        <f t="shared" si="212"/>
        <v>1924333.6170000019</v>
      </c>
      <c r="AM106" s="20">
        <f t="shared" si="226"/>
        <v>8947212.123666672</v>
      </c>
      <c r="AN106" s="50">
        <f>+AP88</f>
        <v>30946307.427666694</v>
      </c>
      <c r="AO106" s="78">
        <f t="shared" si="82"/>
        <v>39893519.551333368</v>
      </c>
      <c r="AP106" s="215"/>
      <c r="AQ106" s="2"/>
      <c r="AR106" s="9"/>
    </row>
    <row r="107" spans="1:44" ht="15.75" thickBot="1" x14ac:dyDescent="0.3">
      <c r="A107" s="211"/>
      <c r="B107" s="211"/>
      <c r="C107" s="211"/>
      <c r="D107" s="211"/>
      <c r="E107" s="6">
        <v>5</v>
      </c>
      <c r="F107" s="65">
        <f>+H93</f>
        <v>46.39</v>
      </c>
      <c r="G107" s="6">
        <v>2</v>
      </c>
      <c r="H107" s="65">
        <f>+H106</f>
        <v>45.89</v>
      </c>
      <c r="I107" s="10">
        <f>+I106</f>
        <v>80</v>
      </c>
      <c r="J107" s="19">
        <f t="shared" si="214"/>
        <v>6.2500000000000003E-3</v>
      </c>
      <c r="K107" s="10">
        <f>+K106</f>
        <v>1281</v>
      </c>
      <c r="L107" s="16">
        <f t="shared" si="215"/>
        <v>15.573399999999999</v>
      </c>
      <c r="M107" s="34">
        <f t="shared" si="230"/>
        <v>1.5573399999999999E-2</v>
      </c>
      <c r="N107" s="34">
        <f t="shared" si="176"/>
        <v>0.14971750410516779</v>
      </c>
      <c r="O107" s="34">
        <f t="shared" si="177"/>
        <v>5.8943899254003069</v>
      </c>
      <c r="P107" s="59">
        <f t="shared" si="182"/>
        <v>6</v>
      </c>
      <c r="Q107" s="55">
        <f>IF(O107&gt;0,VLOOKUP(P107,'$ alcantarillado'!$I$5:$L$22,4,FALSE),"0")</f>
        <v>0.14499999999999999</v>
      </c>
      <c r="R107" s="47">
        <f t="shared" si="178"/>
        <v>1.4298963858198607E-2</v>
      </c>
      <c r="S107" s="35">
        <f t="shared" si="179"/>
        <v>1.0891278664971706</v>
      </c>
      <c r="T107" s="58">
        <f>+IF(S107&gt;$B$13,VLOOKUP(P107,'$ alcantarillado'!$I$6:$N$22,5),P107)</f>
        <v>8</v>
      </c>
      <c r="U107" s="55">
        <f>IF(O107&gt;0,VLOOKUP(T107,'$ alcantarillado'!$I$5:$L$22,4),"0")</f>
        <v>0.182</v>
      </c>
      <c r="V107" s="55">
        <f t="shared" si="180"/>
        <v>2.6212811057560712E-2</v>
      </c>
      <c r="W107" s="35">
        <f t="shared" si="181"/>
        <v>0.59411407520553094</v>
      </c>
      <c r="X107" s="35">
        <f t="shared" si="231"/>
        <v>1.0075832513330949</v>
      </c>
      <c r="Y107" s="55">
        <f>IF(T107&gt;0,(VLOOKUP($W107,Relaciones!$A$4:$D$108,2)),"")</f>
        <v>0.89500000000000002</v>
      </c>
      <c r="Z107" s="35">
        <f t="shared" si="232"/>
        <v>0.90178700994312</v>
      </c>
      <c r="AA107" s="35">
        <f t="shared" si="233"/>
        <v>0.28437499999999999</v>
      </c>
      <c r="AB107" s="46" t="str">
        <f t="shared" si="234"/>
        <v>OK</v>
      </c>
      <c r="AC107" s="46" t="str">
        <f t="shared" si="235"/>
        <v>OK</v>
      </c>
      <c r="AD107" s="46" t="str">
        <f t="shared" si="236"/>
        <v>OK</v>
      </c>
      <c r="AE107" s="48">
        <f t="shared" si="237"/>
        <v>1</v>
      </c>
      <c r="AF107" s="48">
        <f t="shared" si="237"/>
        <v>1</v>
      </c>
      <c r="AG107" s="48">
        <f t="shared" si="237"/>
        <v>1</v>
      </c>
      <c r="AH107" s="48">
        <f t="shared" si="238"/>
        <v>3</v>
      </c>
      <c r="AI107" s="46">
        <f t="shared" si="239"/>
        <v>0.68199999999999994</v>
      </c>
      <c r="AJ107" s="22">
        <f>IF(AI107&gt;0,I107*VLOOKUP(T107,'$ alcantarillado'!$I$6:$K$22,3),0)</f>
        <v>2654586.666666667</v>
      </c>
      <c r="AK107" s="20">
        <f t="shared" si="211"/>
        <v>4491051.8400000036</v>
      </c>
      <c r="AL107" s="20">
        <f t="shared" si="212"/>
        <v>2011581.2420000019</v>
      </c>
      <c r="AM107" s="22">
        <f t="shared" si="226"/>
        <v>9157219.748666672</v>
      </c>
      <c r="AN107" s="51">
        <f>+AP93</f>
        <v>31007687.427666698</v>
      </c>
      <c r="AO107" s="79">
        <f t="shared" si="82"/>
        <v>40164907.176333368</v>
      </c>
      <c r="AP107" s="216"/>
      <c r="AQ107" s="10"/>
      <c r="AR107" s="11"/>
    </row>
    <row r="108" spans="1:44" x14ac:dyDescent="0.25">
      <c r="A108" s="211"/>
      <c r="B108" s="211"/>
      <c r="C108" s="211"/>
      <c r="D108" s="211"/>
      <c r="E108" s="4">
        <v>1</v>
      </c>
      <c r="F108" s="27">
        <f>+H73</f>
        <v>46.89</v>
      </c>
      <c r="G108" s="4">
        <v>3</v>
      </c>
      <c r="H108" s="27">
        <f>+'LOGIKA AN-2'!H113</f>
        <v>45.765000000000001</v>
      </c>
      <c r="I108" s="7">
        <f t="shared" ref="I108" si="242">+I107</f>
        <v>80</v>
      </c>
      <c r="J108" s="18">
        <f>+(F108-H108)/I108</f>
        <v>1.40625E-2</v>
      </c>
      <c r="K108" s="7">
        <f t="shared" ref="K108" si="243">+K107</f>
        <v>1281</v>
      </c>
      <c r="L108" s="14">
        <f>IF(K108&lt;38,K108^0.3686*0.7401,IF(K108&lt;235,K108^0.4193*0.6215,IF(K108&lt;932,K108*0.0092+4.2493,K108*0.0069+6.7345)))</f>
        <v>15.573399999999999</v>
      </c>
      <c r="M108" s="31">
        <f>+L108/1000</f>
        <v>1.5573399999999999E-2</v>
      </c>
      <c r="N108" s="31">
        <f t="shared" si="176"/>
        <v>0.12859922649084177</v>
      </c>
      <c r="O108" s="31">
        <f t="shared" si="177"/>
        <v>5.062961672867786</v>
      </c>
      <c r="P108" s="57">
        <f t="shared" si="182"/>
        <v>6</v>
      </c>
      <c r="Q108" s="60">
        <f>IF(O108&gt;0,VLOOKUP(P108,'$ alcantarillado'!$I$5:$L$22,4,FALSE),"0")</f>
        <v>0.14499999999999999</v>
      </c>
      <c r="R108" s="60">
        <f t="shared" si="178"/>
        <v>2.1448445787297914E-2</v>
      </c>
      <c r="S108" s="27">
        <f t="shared" si="179"/>
        <v>0.72608524433144694</v>
      </c>
      <c r="T108" s="57">
        <f>+IF(S108&gt;$B$13,VLOOKUP(P108,'$ alcantarillado'!$I$6:$N$22,5),P108)</f>
        <v>6</v>
      </c>
      <c r="U108" s="60">
        <f>IF(O108&gt;0,VLOOKUP(T108,'$ alcantarillado'!$I$5:$L$22,4),"0")</f>
        <v>0.14499999999999999</v>
      </c>
      <c r="V108" s="60">
        <f t="shared" si="180"/>
        <v>2.1448445787297914E-2</v>
      </c>
      <c r="W108" s="27">
        <f t="shared" si="181"/>
        <v>0.72608524433144694</v>
      </c>
      <c r="X108" s="27">
        <f>IF(T108&gt;0,4*V108/(PI()*(U108)^2),"")</f>
        <v>1.2988827276811423</v>
      </c>
      <c r="Y108" s="60">
        <f>IF(T108&gt;0,(VLOOKUP($W108,Relaciones!$A$4:$D$108,2)),"")</f>
        <v>0.95499999999999996</v>
      </c>
      <c r="Z108" s="27">
        <f>IF(T108&gt;0,Y108*X108,"")</f>
        <v>1.2404330049354908</v>
      </c>
      <c r="AA108" s="27">
        <f>IF(T108&gt;0,250*U108*J108,"")</f>
        <v>0.509765625</v>
      </c>
      <c r="AB108" s="45" t="str">
        <f>IF(T108&gt;0,IF(W108&lt;=$B$13,"OK","No Cumple"),"")</f>
        <v>OK</v>
      </c>
      <c r="AC108" s="45" t="str">
        <f>IF(T108&gt;0,IF(Z108&gt;=$B$12,"OK","No Cumple"),"")</f>
        <v>OK</v>
      </c>
      <c r="AD108" s="45" t="str">
        <f>IF(T108&gt;0,IF(AA108&gt;$B$14,"OK","No Cumple"),"")</f>
        <v>OK</v>
      </c>
      <c r="AE108" s="32">
        <f>+IF(AB108="OK",1,0)</f>
        <v>1</v>
      </c>
      <c r="AF108" s="32">
        <f>+IF(AC108="OK",1,0)</f>
        <v>1</v>
      </c>
      <c r="AG108" s="32">
        <f>+IF(AD108="OK",1,0)</f>
        <v>1</v>
      </c>
      <c r="AH108" s="32">
        <f>SUM(AE108:AG108)</f>
        <v>3</v>
      </c>
      <c r="AI108" s="45">
        <f>IF(AH108=3,2*$B$7+U108,0)</f>
        <v>0.64500000000000002</v>
      </c>
      <c r="AJ108" s="21">
        <f>IF(AI108&gt;0,I108*VLOOKUP(T108,'$ alcantarillado'!$I$6:$K$22,3),0)</f>
        <v>1912173.3333333335</v>
      </c>
      <c r="AK108" s="61">
        <f t="shared" si="211"/>
        <v>3789504.0000000037</v>
      </c>
      <c r="AL108" s="61">
        <f t="shared" si="212"/>
        <v>1636765.4450000019</v>
      </c>
      <c r="AM108" s="21">
        <f>IF(AJ108&gt;0,AJ108+AK108+AL108,0)</f>
        <v>7338442.7783333398</v>
      </c>
      <c r="AN108" s="49">
        <f>IF(AP73&gt;0,+AP73,0)</f>
        <v>0</v>
      </c>
      <c r="AO108" s="77" t="str">
        <f>IF((AM108)&gt;0,IF(AN108&gt;0,AM108+AN108,""),"")</f>
        <v/>
      </c>
      <c r="AP108" s="221">
        <f t="shared" ref="AP108" si="244">+MIN(AO108:AO112)</f>
        <v>38630065.45600003</v>
      </c>
      <c r="AQ108" s="7"/>
      <c r="AR108" s="8"/>
    </row>
    <row r="109" spans="1:44" x14ac:dyDescent="0.25">
      <c r="A109" s="211"/>
      <c r="B109" s="211"/>
      <c r="C109" s="211"/>
      <c r="D109" s="211"/>
      <c r="E109" s="5">
        <v>2</v>
      </c>
      <c r="F109" s="35">
        <f>+H78</f>
        <v>46.765000000000001</v>
      </c>
      <c r="G109" s="5">
        <v>3</v>
      </c>
      <c r="H109" s="35">
        <f>+H108</f>
        <v>45.765000000000001</v>
      </c>
      <c r="I109" s="2">
        <f>+I108</f>
        <v>80</v>
      </c>
      <c r="J109" s="18">
        <f t="shared" si="214"/>
        <v>1.2500000000000001E-2</v>
      </c>
      <c r="K109" s="2">
        <f>+K108</f>
        <v>1281</v>
      </c>
      <c r="L109" s="15">
        <f t="shared" si="215"/>
        <v>15.573399999999999</v>
      </c>
      <c r="M109" s="33">
        <f t="shared" ref="M109:M112" si="245">+L109/1000</f>
        <v>1.5573399999999999E-2</v>
      </c>
      <c r="N109" s="33">
        <f t="shared" si="176"/>
        <v>0.13147084501519965</v>
      </c>
      <c r="O109" s="33">
        <f t="shared" si="177"/>
        <v>5.1760175202834509</v>
      </c>
      <c r="P109" s="58">
        <f t="shared" si="182"/>
        <v>6</v>
      </c>
      <c r="Q109" s="55">
        <f>IF(O109&gt;0,VLOOKUP(P109,'$ alcantarillado'!$I$5:$L$22,4,FALSE),"0")</f>
        <v>0.14499999999999999</v>
      </c>
      <c r="R109" s="55">
        <f t="shared" si="178"/>
        <v>2.0221788616147186E-2</v>
      </c>
      <c r="S109" s="35">
        <f t="shared" si="179"/>
        <v>0.77012969997938618</v>
      </c>
      <c r="T109" s="58">
        <f>+IF(S109&gt;$B$13,VLOOKUP(P109,'$ alcantarillado'!$I$6:$N$22,5),P109)</f>
        <v>6</v>
      </c>
      <c r="U109" s="55">
        <f>IF(O109&gt;0,VLOOKUP(T109,'$ alcantarillado'!$I$5:$L$22,4),"0")</f>
        <v>0.14499999999999999</v>
      </c>
      <c r="V109" s="55">
        <f t="shared" si="180"/>
        <v>2.0221788616147186E-2</v>
      </c>
      <c r="W109" s="35">
        <f t="shared" si="181"/>
        <v>0.77012969997938618</v>
      </c>
      <c r="X109" s="35">
        <f t="shared" ref="X109:X112" si="246">IF(T109&gt;0,4*V109/(PI()*(U109)^2),"")</f>
        <v>1.2245983796125537</v>
      </c>
      <c r="Y109" s="55">
        <f>IF(T109&gt;0,(VLOOKUP($W109,Relaciones!$A$4:$D$108,2)),"")</f>
        <v>0.97199999999999998</v>
      </c>
      <c r="Z109" s="35">
        <f t="shared" ref="Z109:Z112" si="247">IF(T109&gt;0,Y109*X109,"")</f>
        <v>1.1903096249834022</v>
      </c>
      <c r="AA109" s="35">
        <f t="shared" ref="AA109:AA112" si="248">IF(T109&gt;0,250*U109*J109,"")</f>
        <v>0.453125</v>
      </c>
      <c r="AB109" s="46" t="str">
        <f t="shared" ref="AB109:AB112" si="249">IF(T109&gt;0,IF(W109&lt;=$B$13,"OK","No Cumple"),"")</f>
        <v>OK</v>
      </c>
      <c r="AC109" s="46" t="str">
        <f t="shared" ref="AC109:AC112" si="250">IF(T109&gt;0,IF(Z109&gt;=$B$12,"OK","No Cumple"),"")</f>
        <v>OK</v>
      </c>
      <c r="AD109" s="46" t="str">
        <f t="shared" ref="AD109:AD112" si="251">IF(T109&gt;0,IF(AA109&gt;$B$14,"OK","No Cumple"),"")</f>
        <v>OK</v>
      </c>
      <c r="AE109" s="48">
        <f t="shared" ref="AE109:AG112" si="252">+IF(AB109="OK",1,0)</f>
        <v>1</v>
      </c>
      <c r="AF109" s="48">
        <f t="shared" si="252"/>
        <v>1</v>
      </c>
      <c r="AG109" s="48">
        <f t="shared" si="252"/>
        <v>1</v>
      </c>
      <c r="AH109" s="48">
        <f t="shared" ref="AH109:AH112" si="253">SUM(AE109:AG109)</f>
        <v>3</v>
      </c>
      <c r="AI109" s="46">
        <f t="shared" ref="AI109:AI112" si="254">IF(AH109=3,2*$B$7+U109,0)</f>
        <v>0.64500000000000002</v>
      </c>
      <c r="AJ109" s="20">
        <f>IF(AI109&gt;0,I109*VLOOKUP(T109,'$ alcantarillado'!$I$6:$K$22,3),0)</f>
        <v>1912173.3333333335</v>
      </c>
      <c r="AK109" s="20">
        <f t="shared" si="211"/>
        <v>3905604.0000000042</v>
      </c>
      <c r="AL109" s="20">
        <f t="shared" si="212"/>
        <v>1724013.0700000019</v>
      </c>
      <c r="AM109" s="20">
        <f t="shared" si="226"/>
        <v>7541790.4033333398</v>
      </c>
      <c r="AN109" s="50">
        <f>+AP78</f>
        <v>0</v>
      </c>
      <c r="AO109" s="78" t="str">
        <f t="shared" si="82"/>
        <v/>
      </c>
      <c r="AP109" s="222"/>
      <c r="AQ109" s="2"/>
      <c r="AR109" s="9"/>
    </row>
    <row r="110" spans="1:44" x14ac:dyDescent="0.25">
      <c r="A110" s="211"/>
      <c r="B110" s="211"/>
      <c r="C110" s="211"/>
      <c r="D110" s="211"/>
      <c r="E110" s="56">
        <v>3</v>
      </c>
      <c r="F110" s="35">
        <f>+H83</f>
        <v>46.64</v>
      </c>
      <c r="G110" s="56">
        <v>3</v>
      </c>
      <c r="H110" s="35">
        <f>+'LOGIKA AN-2'!H113</f>
        <v>45.765000000000001</v>
      </c>
      <c r="I110" s="2">
        <f t="shared" ref="H110:I111" si="255">+I109</f>
        <v>80</v>
      </c>
      <c r="J110" s="18">
        <f t="shared" si="214"/>
        <v>1.0937499999999999E-2</v>
      </c>
      <c r="K110" s="2">
        <f t="shared" ref="K110:K111" si="256">+K109</f>
        <v>1281</v>
      </c>
      <c r="L110" s="15">
        <f t="shared" si="215"/>
        <v>15.573399999999999</v>
      </c>
      <c r="M110" s="33">
        <f t="shared" si="245"/>
        <v>1.5573399999999999E-2</v>
      </c>
      <c r="N110" s="33">
        <f t="shared" si="176"/>
        <v>0.13480405130829018</v>
      </c>
      <c r="O110" s="33">
        <f t="shared" si="177"/>
        <v>5.3072461144996135</v>
      </c>
      <c r="P110" s="58">
        <f t="shared" si="182"/>
        <v>6</v>
      </c>
      <c r="Q110" s="55">
        <f>IF(O110&gt;0,VLOOKUP(P110,'$ alcantarillado'!$I$5:$L$22,4,FALSE),"0")</f>
        <v>0.14499999999999999</v>
      </c>
      <c r="R110" s="55">
        <f t="shared" si="178"/>
        <v>1.8915751187347084E-2</v>
      </c>
      <c r="S110" s="35">
        <f t="shared" si="179"/>
        <v>0.823303280200534</v>
      </c>
      <c r="T110" s="58">
        <f>+IF(S110&gt;$B$13,VLOOKUP(P110,'$ alcantarillado'!$I$6:$N$22,5),P110)</f>
        <v>6</v>
      </c>
      <c r="U110" s="55">
        <f>IF(O110&gt;0,VLOOKUP(T110,'$ alcantarillado'!$I$5:$L$22,4),"0")</f>
        <v>0.14499999999999999</v>
      </c>
      <c r="V110" s="55">
        <f t="shared" si="180"/>
        <v>1.8915751187347084E-2</v>
      </c>
      <c r="W110" s="35">
        <f t="shared" si="181"/>
        <v>0.823303280200534</v>
      </c>
      <c r="X110" s="35">
        <f t="shared" si="246"/>
        <v>1.1455068932271779</v>
      </c>
      <c r="Y110" s="55">
        <f>IF(T110&gt;0,(VLOOKUP($W110,Relaciones!$A$4:$D$108,2)),"")</f>
        <v>0.99</v>
      </c>
      <c r="Z110" s="35">
        <f t="shared" si="247"/>
        <v>1.134051824294906</v>
      </c>
      <c r="AA110" s="35">
        <f t="shared" si="248"/>
        <v>0.396484375</v>
      </c>
      <c r="AB110" s="46" t="str">
        <f t="shared" si="249"/>
        <v>OK</v>
      </c>
      <c r="AC110" s="46" t="str">
        <f t="shared" si="250"/>
        <v>OK</v>
      </c>
      <c r="AD110" s="46" t="str">
        <f t="shared" si="251"/>
        <v>OK</v>
      </c>
      <c r="AE110" s="48">
        <f t="shared" si="252"/>
        <v>1</v>
      </c>
      <c r="AF110" s="48">
        <f t="shared" si="252"/>
        <v>1</v>
      </c>
      <c r="AG110" s="48">
        <f t="shared" si="252"/>
        <v>1</v>
      </c>
      <c r="AH110" s="48">
        <f t="shared" si="253"/>
        <v>3</v>
      </c>
      <c r="AI110" s="46">
        <f t="shared" si="254"/>
        <v>0.64500000000000002</v>
      </c>
      <c r="AJ110" s="20">
        <f>IF(AI110&gt;0,I110*VLOOKUP(T110,'$ alcantarillado'!$I$6:$K$22,3),0)</f>
        <v>1912173.3333333335</v>
      </c>
      <c r="AK110" s="20">
        <f t="shared" si="211"/>
        <v>4021704.0000000047</v>
      </c>
      <c r="AL110" s="20">
        <f t="shared" si="212"/>
        <v>1811260.6950000019</v>
      </c>
      <c r="AM110" s="20">
        <f t="shared" si="226"/>
        <v>7745138.0283333398</v>
      </c>
      <c r="AN110" s="50">
        <f>+AP83</f>
        <v>30884927.427666694</v>
      </c>
      <c r="AO110" s="66">
        <f t="shared" si="82"/>
        <v>38630065.45600003</v>
      </c>
      <c r="AP110" s="223"/>
      <c r="AQ110" s="2"/>
      <c r="AR110" s="9"/>
    </row>
    <row r="111" spans="1:44" x14ac:dyDescent="0.25">
      <c r="A111" s="211"/>
      <c r="B111" s="211"/>
      <c r="C111" s="211"/>
      <c r="D111" s="211"/>
      <c r="E111" s="56">
        <v>4</v>
      </c>
      <c r="F111" s="35">
        <f>+H88</f>
        <v>46.515000000000001</v>
      </c>
      <c r="G111" s="56">
        <v>3</v>
      </c>
      <c r="H111" s="35">
        <f t="shared" si="255"/>
        <v>45.765000000000001</v>
      </c>
      <c r="I111" s="2">
        <f t="shared" si="255"/>
        <v>80</v>
      </c>
      <c r="J111" s="18">
        <f>+(F111-H111)/I111</f>
        <v>9.3749999999999997E-3</v>
      </c>
      <c r="K111" s="2">
        <f t="shared" si="256"/>
        <v>1281</v>
      </c>
      <c r="L111" s="15">
        <f t="shared" si="215"/>
        <v>15.573399999999999</v>
      </c>
      <c r="M111" s="33">
        <f t="shared" si="245"/>
        <v>1.5573399999999999E-2</v>
      </c>
      <c r="N111" s="33">
        <f t="shared" si="176"/>
        <v>0.13875718078738841</v>
      </c>
      <c r="O111" s="33">
        <f t="shared" si="177"/>
        <v>5.4628811333617486</v>
      </c>
      <c r="P111" s="58">
        <f t="shared" si="182"/>
        <v>6</v>
      </c>
      <c r="Q111" s="55">
        <f>IF(O111&gt;0,VLOOKUP(P111,'$ alcantarillado'!$I$5:$L$22,4,FALSE),"0")</f>
        <v>0.14499999999999999</v>
      </c>
      <c r="R111" s="55">
        <f t="shared" si="178"/>
        <v>1.7512582651542437E-2</v>
      </c>
      <c r="S111" s="35">
        <f t="shared" si="179"/>
        <v>0.88926917918804838</v>
      </c>
      <c r="T111" s="58">
        <f>+IF(S111&gt;$B$13,VLOOKUP(P111,'$ alcantarillado'!$I$6:$N$22,5),P111)</f>
        <v>8</v>
      </c>
      <c r="U111" s="55">
        <f>IF(O111&gt;0,VLOOKUP(T111,'$ alcantarillado'!$I$5:$L$22,4),"0")</f>
        <v>0.182</v>
      </c>
      <c r="V111" s="55">
        <f t="shared" si="180"/>
        <v>3.2104005907504223E-2</v>
      </c>
      <c r="W111" s="35">
        <f t="shared" si="181"/>
        <v>0.48509211108635386</v>
      </c>
      <c r="X111" s="35">
        <f t="shared" si="246"/>
        <v>1.2340324195702708</v>
      </c>
      <c r="Y111" s="55">
        <f>IF(T111&gt;0,(VLOOKUP($W111,Relaciones!$A$4:$D$108,2)),"")</f>
        <v>0.84</v>
      </c>
      <c r="Z111" s="35">
        <f t="shared" si="247"/>
        <v>1.0365872324390275</v>
      </c>
      <c r="AA111" s="35">
        <f t="shared" si="248"/>
        <v>0.42656250000000001</v>
      </c>
      <c r="AB111" s="46" t="str">
        <f t="shared" si="249"/>
        <v>OK</v>
      </c>
      <c r="AC111" s="46" t="str">
        <f t="shared" si="250"/>
        <v>OK</v>
      </c>
      <c r="AD111" s="46" t="str">
        <f t="shared" si="251"/>
        <v>OK</v>
      </c>
      <c r="AE111" s="48">
        <f t="shared" si="252"/>
        <v>1</v>
      </c>
      <c r="AF111" s="48">
        <f t="shared" si="252"/>
        <v>1</v>
      </c>
      <c r="AG111" s="48">
        <f t="shared" si="252"/>
        <v>1</v>
      </c>
      <c r="AH111" s="48">
        <f t="shared" si="253"/>
        <v>3</v>
      </c>
      <c r="AI111" s="46">
        <f t="shared" si="254"/>
        <v>0.68199999999999994</v>
      </c>
      <c r="AJ111" s="20">
        <f>IF(AI111&gt;0,I111*VLOOKUP(T111,'$ alcantarillado'!$I$6:$K$22,3),0)</f>
        <v>2654586.666666667</v>
      </c>
      <c r="AK111" s="20">
        <f t="shared" si="211"/>
        <v>4429671.8400000036</v>
      </c>
      <c r="AL111" s="20">
        <f t="shared" si="212"/>
        <v>1924333.6170000019</v>
      </c>
      <c r="AM111" s="20">
        <f t="shared" si="226"/>
        <v>9008592.123666672</v>
      </c>
      <c r="AN111" s="50">
        <f>+AP88</f>
        <v>30946307.427666694</v>
      </c>
      <c r="AO111" s="78">
        <f t="shared" si="82"/>
        <v>39954899.551333368</v>
      </c>
      <c r="AP111" s="223"/>
      <c r="AQ111" s="2">
        <v>3</v>
      </c>
      <c r="AR111" s="9">
        <v>3</v>
      </c>
    </row>
    <row r="112" spans="1:44" ht="15.75" thickBot="1" x14ac:dyDescent="0.3">
      <c r="A112" s="211"/>
      <c r="B112" s="211"/>
      <c r="C112" s="211"/>
      <c r="D112" s="211"/>
      <c r="E112" s="6">
        <v>5</v>
      </c>
      <c r="F112" s="65">
        <f>+H93</f>
        <v>46.39</v>
      </c>
      <c r="G112" s="6">
        <v>3</v>
      </c>
      <c r="H112" s="65">
        <f>+H111</f>
        <v>45.765000000000001</v>
      </c>
      <c r="I112" s="10">
        <f>+I111</f>
        <v>80</v>
      </c>
      <c r="J112" s="19">
        <f t="shared" si="214"/>
        <v>7.8125E-3</v>
      </c>
      <c r="K112" s="10">
        <f>+K111</f>
        <v>1281</v>
      </c>
      <c r="L112" s="16">
        <f t="shared" si="215"/>
        <v>15.573399999999999</v>
      </c>
      <c r="M112" s="34">
        <f t="shared" si="245"/>
        <v>1.5573399999999999E-2</v>
      </c>
      <c r="N112" s="34">
        <f t="shared" si="176"/>
        <v>0.14358264555199565</v>
      </c>
      <c r="O112" s="34">
        <f t="shared" si="177"/>
        <v>5.6528600611021913</v>
      </c>
      <c r="P112" s="59">
        <f t="shared" si="182"/>
        <v>6</v>
      </c>
      <c r="Q112" s="55">
        <f>IF(O112&gt;0,VLOOKUP(P112,'$ alcantarillado'!$I$5:$L$22,4,FALSE),"0")</f>
        <v>0.14499999999999999</v>
      </c>
      <c r="R112" s="47">
        <f t="shared" si="178"/>
        <v>1.5986727597372376E-2</v>
      </c>
      <c r="S112" s="35">
        <f t="shared" si="179"/>
        <v>0.97414557827079551</v>
      </c>
      <c r="T112" s="58">
        <f>+IF(S112&gt;$B$13,VLOOKUP(P112,'$ alcantarillado'!$I$6:$N$22,5),P112)</f>
        <v>8</v>
      </c>
      <c r="U112" s="55">
        <f>IF(O112&gt;0,VLOOKUP(T112,'$ alcantarillado'!$I$5:$L$22,4),"0")</f>
        <v>0.182</v>
      </c>
      <c r="V112" s="55">
        <f t="shared" si="180"/>
        <v>2.9306813703031953E-2</v>
      </c>
      <c r="W112" s="35">
        <f t="shared" si="181"/>
        <v>0.53139178341959581</v>
      </c>
      <c r="X112" s="35">
        <f t="shared" si="246"/>
        <v>1.1265123214855279</v>
      </c>
      <c r="Y112" s="55">
        <f>IF(T112&gt;0,(VLOOKUP($W112,Relaciones!$A$4:$D$108,2)),"")</f>
        <v>0.86499999999999999</v>
      </c>
      <c r="Z112" s="35">
        <f t="shared" si="247"/>
        <v>0.97443315808498165</v>
      </c>
      <c r="AA112" s="35">
        <f t="shared" si="248"/>
        <v>0.35546875</v>
      </c>
      <c r="AB112" s="46" t="str">
        <f t="shared" si="249"/>
        <v>OK</v>
      </c>
      <c r="AC112" s="46" t="str">
        <f t="shared" si="250"/>
        <v>OK</v>
      </c>
      <c r="AD112" s="46" t="str">
        <f t="shared" si="251"/>
        <v>OK</v>
      </c>
      <c r="AE112" s="48">
        <f t="shared" si="252"/>
        <v>1</v>
      </c>
      <c r="AF112" s="48">
        <f t="shared" si="252"/>
        <v>1</v>
      </c>
      <c r="AG112" s="48">
        <f t="shared" si="252"/>
        <v>1</v>
      </c>
      <c r="AH112" s="48">
        <f t="shared" si="253"/>
        <v>3</v>
      </c>
      <c r="AI112" s="46">
        <f t="shared" si="254"/>
        <v>0.68199999999999994</v>
      </c>
      <c r="AJ112" s="22">
        <f>IF(AI112&gt;0,I112*VLOOKUP(T112,'$ alcantarillado'!$I$6:$K$22,3),0)</f>
        <v>2654586.666666667</v>
      </c>
      <c r="AK112" s="20">
        <f t="shared" si="211"/>
        <v>4552431.8400000036</v>
      </c>
      <c r="AL112" s="20">
        <f t="shared" si="212"/>
        <v>2011581.2420000019</v>
      </c>
      <c r="AM112" s="22">
        <f t="shared" si="226"/>
        <v>9218599.748666672</v>
      </c>
      <c r="AN112" s="51">
        <f>+AP93</f>
        <v>31007687.427666698</v>
      </c>
      <c r="AO112" s="79">
        <f t="shared" si="82"/>
        <v>40226287.176333368</v>
      </c>
      <c r="AP112" s="224"/>
      <c r="AQ112" s="10"/>
      <c r="AR112" s="11"/>
    </row>
    <row r="113" spans="1:44" x14ac:dyDescent="0.25">
      <c r="A113" s="211"/>
      <c r="B113" s="211"/>
      <c r="C113" s="211"/>
      <c r="D113" s="211"/>
      <c r="E113" s="4">
        <v>1</v>
      </c>
      <c r="F113" s="27">
        <f>+H73</f>
        <v>46.89</v>
      </c>
      <c r="G113" s="4">
        <v>4</v>
      </c>
      <c r="H113" s="14">
        <f>+H108-$B$15</f>
        <v>45.64</v>
      </c>
      <c r="I113" s="12">
        <f>+I108</f>
        <v>80</v>
      </c>
      <c r="J113" s="18">
        <f>+(F113-H113)/I113</f>
        <v>1.5625E-2</v>
      </c>
      <c r="K113" s="12">
        <f>+K108</f>
        <v>1281</v>
      </c>
      <c r="L113" s="14">
        <f>IF(K113&lt;38,K113^0.3686*0.7401,IF(K113&lt;235,K113^0.4193*0.6215,IF(K113&lt;932,K113*0.0092+4.2493,K113*0.0069+6.7345)))</f>
        <v>15.573399999999999</v>
      </c>
      <c r="M113" s="31">
        <f>+L113/1000</f>
        <v>1.5573399999999999E-2</v>
      </c>
      <c r="N113" s="31">
        <f t="shared" si="176"/>
        <v>0.12608366572140306</v>
      </c>
      <c r="O113" s="31">
        <f t="shared" si="177"/>
        <v>4.9639238472993332</v>
      </c>
      <c r="P113" s="57">
        <f t="shared" si="182"/>
        <v>6</v>
      </c>
      <c r="Q113" s="60">
        <f>IF(O113&gt;0,VLOOKUP(P113,'$ alcantarillado'!$I$5:$L$22,4,FALSE),"0")</f>
        <v>0.14499999999999999</v>
      </c>
      <c r="R113" s="60">
        <f t="shared" si="178"/>
        <v>2.2608646986168258E-2</v>
      </c>
      <c r="S113" s="27">
        <f t="shared" si="179"/>
        <v>0.68882494425817031</v>
      </c>
      <c r="T113" s="57">
        <f>+IF(S113&gt;$B$13,VLOOKUP(P113,'$ alcantarillado'!$I$6:$N$22,5),P113)</f>
        <v>6</v>
      </c>
      <c r="U113" s="60">
        <f>IF(O113&gt;0,VLOOKUP(T113,'$ alcantarillado'!$I$5:$L$22,4),"0")</f>
        <v>0.14499999999999999</v>
      </c>
      <c r="V113" s="60">
        <f t="shared" si="180"/>
        <v>2.2608646986168258E-2</v>
      </c>
      <c r="W113" s="27">
        <f t="shared" si="181"/>
        <v>0.68882494425817031</v>
      </c>
      <c r="X113" s="27">
        <f>IF(T113&gt;0,4*V113/(PI()*(U113)^2),"")</f>
        <v>1.3691426109748814</v>
      </c>
      <c r="Y113" s="60">
        <f>IF(T113&gt;0,(VLOOKUP($W113,Relaciones!$A$4:$D$108,2)),"")</f>
        <v>0.93600000000000005</v>
      </c>
      <c r="Z113" s="27">
        <f>IF(T113&gt;0,Y113*X113,"")</f>
        <v>1.2815174838724892</v>
      </c>
      <c r="AA113" s="27">
        <f>IF(T113&gt;0,250*U113*J113,"")</f>
        <v>0.56640625</v>
      </c>
      <c r="AB113" s="45" t="str">
        <f>IF(T113&gt;0,IF(W113&lt;=$B$13,"OK","No Cumple"),"")</f>
        <v>OK</v>
      </c>
      <c r="AC113" s="45" t="str">
        <f>IF(T113&gt;0,IF(Z113&gt;=$B$12,"OK","No Cumple"),"")</f>
        <v>OK</v>
      </c>
      <c r="AD113" s="45" t="str">
        <f>IF(T113&gt;0,IF(AA113&gt;$B$14,"OK","No Cumple"),"")</f>
        <v>OK</v>
      </c>
      <c r="AE113" s="32">
        <f>+IF(AB113="OK",1,0)</f>
        <v>1</v>
      </c>
      <c r="AF113" s="32">
        <f>+IF(AC113="OK",1,0)</f>
        <v>1</v>
      </c>
      <c r="AG113" s="32">
        <f>+IF(AD113="OK",1,0)</f>
        <v>1</v>
      </c>
      <c r="AH113" s="32">
        <f>SUM(AE113:AG113)</f>
        <v>3</v>
      </c>
      <c r="AI113" s="45">
        <f>IF(AH113=3,2*$B$7+U113,0)</f>
        <v>0.64500000000000002</v>
      </c>
      <c r="AJ113" s="21">
        <f>IF(AI113&gt;0,I113*VLOOKUP(T113,'$ alcantarillado'!$I$6:$K$22,3),0)</f>
        <v>1912173.3333333335</v>
      </c>
      <c r="AK113" s="61">
        <f t="shared" si="211"/>
        <v>3847554.0000000042</v>
      </c>
      <c r="AL113" s="61">
        <f t="shared" si="212"/>
        <v>1636765.4450000019</v>
      </c>
      <c r="AM113" s="21">
        <f>IF(AJ113&gt;0,AJ113+AK113+AL113,0)</f>
        <v>7396492.7783333398</v>
      </c>
      <c r="AN113" s="49">
        <f>IF(AP73&gt;0,+AP73,0)</f>
        <v>0</v>
      </c>
      <c r="AO113" s="77" t="str">
        <f>IF((AM113)&gt;0,IF(AN113&gt;0,AM113+AN113,""),"")</f>
        <v/>
      </c>
      <c r="AP113" s="213">
        <f t="shared" ref="AP113" si="257">+MIN(AO113:AO117)</f>
        <v>38688115.45600003</v>
      </c>
      <c r="AQ113" s="7"/>
      <c r="AR113" s="8"/>
    </row>
    <row r="114" spans="1:44" x14ac:dyDescent="0.25">
      <c r="A114" s="211"/>
      <c r="B114" s="211"/>
      <c r="C114" s="211"/>
      <c r="D114" s="211"/>
      <c r="E114" s="5">
        <v>2</v>
      </c>
      <c r="F114" s="35">
        <f>+H78</f>
        <v>46.765000000000001</v>
      </c>
      <c r="G114" s="5">
        <v>4</v>
      </c>
      <c r="H114" s="15">
        <f>+H113</f>
        <v>45.64</v>
      </c>
      <c r="I114" s="2">
        <f>+I113</f>
        <v>80</v>
      </c>
      <c r="J114" s="18">
        <f t="shared" si="214"/>
        <v>1.40625E-2</v>
      </c>
      <c r="K114" s="2">
        <f>+K113</f>
        <v>1281</v>
      </c>
      <c r="L114" s="15">
        <f t="shared" si="215"/>
        <v>15.573399999999999</v>
      </c>
      <c r="M114" s="33">
        <f t="shared" ref="M114:M117" si="258">+L114/1000</f>
        <v>1.5573399999999999E-2</v>
      </c>
      <c r="N114" s="33">
        <f t="shared" si="176"/>
        <v>0.12859922649084177</v>
      </c>
      <c r="O114" s="33">
        <f t="shared" si="177"/>
        <v>5.062961672867786</v>
      </c>
      <c r="P114" s="58">
        <f t="shared" si="182"/>
        <v>6</v>
      </c>
      <c r="Q114" s="55">
        <f>IF(O114&gt;0,VLOOKUP(P114,'$ alcantarillado'!$I$5:$L$22,4,FALSE),"0")</f>
        <v>0.14499999999999999</v>
      </c>
      <c r="R114" s="55">
        <f t="shared" si="178"/>
        <v>2.1448445787297914E-2</v>
      </c>
      <c r="S114" s="35">
        <f t="shared" si="179"/>
        <v>0.72608524433144694</v>
      </c>
      <c r="T114" s="58">
        <f>+IF(S114&gt;$B$13,VLOOKUP(P114,'$ alcantarillado'!$I$6:$N$22,5),P114)</f>
        <v>6</v>
      </c>
      <c r="U114" s="55">
        <f>IF(O114&gt;0,VLOOKUP(T114,'$ alcantarillado'!$I$5:$L$22,4),"0")</f>
        <v>0.14499999999999999</v>
      </c>
      <c r="V114" s="55">
        <f t="shared" si="180"/>
        <v>2.1448445787297914E-2</v>
      </c>
      <c r="W114" s="35">
        <f t="shared" si="181"/>
        <v>0.72608524433144694</v>
      </c>
      <c r="X114" s="35">
        <f t="shared" ref="X114:X117" si="259">IF(T114&gt;0,4*V114/(PI()*(U114)^2),"")</f>
        <v>1.2988827276811423</v>
      </c>
      <c r="Y114" s="55">
        <f>IF(T114&gt;0,(VLOOKUP($W114,Relaciones!$A$4:$D$108,2)),"")</f>
        <v>0.95499999999999996</v>
      </c>
      <c r="Z114" s="35">
        <f t="shared" ref="Z114:Z117" si="260">IF(T114&gt;0,Y114*X114,"")</f>
        <v>1.2404330049354908</v>
      </c>
      <c r="AA114" s="35">
        <f t="shared" ref="AA114:AA117" si="261">IF(T114&gt;0,250*U114*J114,"")</f>
        <v>0.509765625</v>
      </c>
      <c r="AB114" s="46" t="str">
        <f t="shared" ref="AB114:AB117" si="262">IF(T114&gt;0,IF(W114&lt;=$B$13,"OK","No Cumple"),"")</f>
        <v>OK</v>
      </c>
      <c r="AC114" s="46" t="str">
        <f t="shared" ref="AC114:AC117" si="263">IF(T114&gt;0,IF(Z114&gt;=$B$12,"OK","No Cumple"),"")</f>
        <v>OK</v>
      </c>
      <c r="AD114" s="46" t="str">
        <f t="shared" ref="AD114:AD117" si="264">IF(T114&gt;0,IF(AA114&gt;$B$14,"OK","No Cumple"),"")</f>
        <v>OK</v>
      </c>
      <c r="AE114" s="48">
        <f t="shared" ref="AE114:AG117" si="265">+IF(AB114="OK",1,0)</f>
        <v>1</v>
      </c>
      <c r="AF114" s="48">
        <f t="shared" si="265"/>
        <v>1</v>
      </c>
      <c r="AG114" s="48">
        <f t="shared" si="265"/>
        <v>1</v>
      </c>
      <c r="AH114" s="48">
        <f t="shared" ref="AH114:AH117" si="266">SUM(AE114:AG114)</f>
        <v>3</v>
      </c>
      <c r="AI114" s="46">
        <f t="shared" ref="AI114:AI117" si="267">IF(AH114=3,2*$B$7+U114,0)</f>
        <v>0.64500000000000002</v>
      </c>
      <c r="AJ114" s="20">
        <f>IF(AI114&gt;0,I114*VLOOKUP(T114,'$ alcantarillado'!$I$6:$K$22,3),0)</f>
        <v>1912173.3333333335</v>
      </c>
      <c r="AK114" s="20">
        <f t="shared" si="211"/>
        <v>3963654.0000000042</v>
      </c>
      <c r="AL114" s="20">
        <f t="shared" si="212"/>
        <v>1724013.0700000019</v>
      </c>
      <c r="AM114" s="20">
        <f t="shared" si="226"/>
        <v>7599840.4033333398</v>
      </c>
      <c r="AN114" s="50">
        <f>+AP78</f>
        <v>0</v>
      </c>
      <c r="AO114" s="78" t="str">
        <f t="shared" si="82"/>
        <v/>
      </c>
      <c r="AP114" s="214"/>
      <c r="AQ114" s="2"/>
      <c r="AR114" s="9"/>
    </row>
    <row r="115" spans="1:44" x14ac:dyDescent="0.25">
      <c r="A115" s="211"/>
      <c r="B115" s="211"/>
      <c r="C115" s="211"/>
      <c r="D115" s="211"/>
      <c r="E115" s="56">
        <v>3</v>
      </c>
      <c r="F115" s="35">
        <f>+H83</f>
        <v>46.64</v>
      </c>
      <c r="G115" s="56">
        <v>4</v>
      </c>
      <c r="H115" s="15">
        <f t="shared" ref="H115:I116" si="268">+H114</f>
        <v>45.64</v>
      </c>
      <c r="I115" s="2">
        <f t="shared" si="268"/>
        <v>80</v>
      </c>
      <c r="J115" s="18">
        <f t="shared" si="214"/>
        <v>1.2500000000000001E-2</v>
      </c>
      <c r="K115" s="2">
        <f t="shared" ref="K115:K116" si="269">+K114</f>
        <v>1281</v>
      </c>
      <c r="L115" s="15">
        <f t="shared" si="215"/>
        <v>15.573399999999999</v>
      </c>
      <c r="M115" s="33">
        <f t="shared" si="258"/>
        <v>1.5573399999999999E-2</v>
      </c>
      <c r="N115" s="33">
        <f t="shared" si="176"/>
        <v>0.13147084501519965</v>
      </c>
      <c r="O115" s="33">
        <f t="shared" si="177"/>
        <v>5.1760175202834509</v>
      </c>
      <c r="P115" s="58">
        <f t="shared" si="182"/>
        <v>6</v>
      </c>
      <c r="Q115" s="55">
        <f>IF(O115&gt;0,VLOOKUP(P115,'$ alcantarillado'!$I$5:$L$22,4,FALSE),"0")</f>
        <v>0.14499999999999999</v>
      </c>
      <c r="R115" s="55">
        <f t="shared" si="178"/>
        <v>2.0221788616147186E-2</v>
      </c>
      <c r="S115" s="35">
        <f t="shared" si="179"/>
        <v>0.77012969997938618</v>
      </c>
      <c r="T115" s="58">
        <f>+IF(S115&gt;$B$13,VLOOKUP(P115,'$ alcantarillado'!$I$6:$N$22,5),P115)</f>
        <v>6</v>
      </c>
      <c r="U115" s="55">
        <f>IF(O115&gt;0,VLOOKUP(T115,'$ alcantarillado'!$I$5:$L$22,4),"0")</f>
        <v>0.14499999999999999</v>
      </c>
      <c r="V115" s="55">
        <f t="shared" si="180"/>
        <v>2.0221788616147186E-2</v>
      </c>
      <c r="W115" s="35">
        <f t="shared" si="181"/>
        <v>0.77012969997938618</v>
      </c>
      <c r="X115" s="35">
        <f t="shared" si="259"/>
        <v>1.2245983796125537</v>
      </c>
      <c r="Y115" s="55">
        <f>IF(T115&gt;0,(VLOOKUP($W115,Relaciones!$A$4:$D$108,2)),"")</f>
        <v>0.97199999999999998</v>
      </c>
      <c r="Z115" s="35">
        <f t="shared" si="260"/>
        <v>1.1903096249834022</v>
      </c>
      <c r="AA115" s="35">
        <f t="shared" si="261"/>
        <v>0.453125</v>
      </c>
      <c r="AB115" s="46" t="str">
        <f t="shared" si="262"/>
        <v>OK</v>
      </c>
      <c r="AC115" s="46" t="str">
        <f t="shared" si="263"/>
        <v>OK</v>
      </c>
      <c r="AD115" s="46" t="str">
        <f t="shared" si="264"/>
        <v>OK</v>
      </c>
      <c r="AE115" s="48">
        <f t="shared" si="265"/>
        <v>1</v>
      </c>
      <c r="AF115" s="48">
        <f t="shared" si="265"/>
        <v>1</v>
      </c>
      <c r="AG115" s="48">
        <f t="shared" si="265"/>
        <v>1</v>
      </c>
      <c r="AH115" s="48">
        <f t="shared" si="266"/>
        <v>3</v>
      </c>
      <c r="AI115" s="46">
        <f t="shared" si="267"/>
        <v>0.64500000000000002</v>
      </c>
      <c r="AJ115" s="20">
        <f>IF(AI115&gt;0,I115*VLOOKUP(T115,'$ alcantarillado'!$I$6:$K$22,3),0)</f>
        <v>1912173.3333333335</v>
      </c>
      <c r="AK115" s="20">
        <f t="shared" si="211"/>
        <v>4079754.0000000047</v>
      </c>
      <c r="AL115" s="20">
        <f t="shared" si="212"/>
        <v>1811260.6950000019</v>
      </c>
      <c r="AM115" s="20">
        <f t="shared" si="226"/>
        <v>7803188.0283333398</v>
      </c>
      <c r="AN115" s="80">
        <f>+AP83</f>
        <v>30884927.427666694</v>
      </c>
      <c r="AO115" s="78">
        <f t="shared" ref="AO115:AO117" si="270">IF((AM115)&gt;0,IF(AN115&gt;0,AM115+AN115,""),"")</f>
        <v>38688115.45600003</v>
      </c>
      <c r="AP115" s="215"/>
      <c r="AQ115" s="2">
        <v>3</v>
      </c>
      <c r="AR115" s="9">
        <v>4</v>
      </c>
    </row>
    <row r="116" spans="1:44" x14ac:dyDescent="0.25">
      <c r="A116" s="211"/>
      <c r="B116" s="211"/>
      <c r="C116" s="211"/>
      <c r="D116" s="211"/>
      <c r="E116" s="56">
        <v>4</v>
      </c>
      <c r="F116" s="35">
        <f>+H88</f>
        <v>46.515000000000001</v>
      </c>
      <c r="G116" s="56">
        <v>4</v>
      </c>
      <c r="H116" s="15">
        <f t="shared" si="268"/>
        <v>45.64</v>
      </c>
      <c r="I116" s="2">
        <f t="shared" si="268"/>
        <v>80</v>
      </c>
      <c r="J116" s="18">
        <f>+(F116-H116)/I116</f>
        <v>1.0937499999999999E-2</v>
      </c>
      <c r="K116" s="2">
        <f t="shared" si="269"/>
        <v>1281</v>
      </c>
      <c r="L116" s="15">
        <f t="shared" si="215"/>
        <v>15.573399999999999</v>
      </c>
      <c r="M116" s="33">
        <f t="shared" si="258"/>
        <v>1.5573399999999999E-2</v>
      </c>
      <c r="N116" s="33">
        <f t="shared" si="176"/>
        <v>0.13480405130829018</v>
      </c>
      <c r="O116" s="33">
        <f t="shared" si="177"/>
        <v>5.3072461144996135</v>
      </c>
      <c r="P116" s="58">
        <f t="shared" si="182"/>
        <v>6</v>
      </c>
      <c r="Q116" s="55">
        <f>IF(O116&gt;0,VLOOKUP(P116,'$ alcantarillado'!$I$5:$L$22,4,FALSE),"0")</f>
        <v>0.14499999999999999</v>
      </c>
      <c r="R116" s="55">
        <f t="shared" si="178"/>
        <v>1.8915751187347084E-2</v>
      </c>
      <c r="S116" s="35">
        <f t="shared" si="179"/>
        <v>0.823303280200534</v>
      </c>
      <c r="T116" s="58">
        <f>+IF(S116&gt;$B$13,VLOOKUP(P116,'$ alcantarillado'!$I$6:$N$22,5),P116)</f>
        <v>6</v>
      </c>
      <c r="U116" s="55">
        <f>IF(O116&gt;0,VLOOKUP(T116,'$ alcantarillado'!$I$5:$L$22,4),"0")</f>
        <v>0.14499999999999999</v>
      </c>
      <c r="V116" s="55">
        <f t="shared" si="180"/>
        <v>1.8915751187347084E-2</v>
      </c>
      <c r="W116" s="35">
        <f t="shared" si="181"/>
        <v>0.823303280200534</v>
      </c>
      <c r="X116" s="35">
        <f t="shared" si="259"/>
        <v>1.1455068932271779</v>
      </c>
      <c r="Y116" s="55">
        <f>IF(T116&gt;0,(VLOOKUP($W116,Relaciones!$A$4:$D$108,2)),"")</f>
        <v>0.99</v>
      </c>
      <c r="Z116" s="35">
        <f t="shared" si="260"/>
        <v>1.134051824294906</v>
      </c>
      <c r="AA116" s="35">
        <f t="shared" si="261"/>
        <v>0.396484375</v>
      </c>
      <c r="AB116" s="46" t="str">
        <f t="shared" si="262"/>
        <v>OK</v>
      </c>
      <c r="AC116" s="46" t="str">
        <f t="shared" si="263"/>
        <v>OK</v>
      </c>
      <c r="AD116" s="46" t="str">
        <f t="shared" si="264"/>
        <v>OK</v>
      </c>
      <c r="AE116" s="48">
        <f t="shared" si="265"/>
        <v>1</v>
      </c>
      <c r="AF116" s="48">
        <f t="shared" si="265"/>
        <v>1</v>
      </c>
      <c r="AG116" s="48">
        <f t="shared" si="265"/>
        <v>1</v>
      </c>
      <c r="AH116" s="48">
        <f t="shared" si="266"/>
        <v>3</v>
      </c>
      <c r="AI116" s="46">
        <f t="shared" si="267"/>
        <v>0.64500000000000002</v>
      </c>
      <c r="AJ116" s="20">
        <f>IF(AI116&gt;0,I116*VLOOKUP(T116,'$ alcantarillado'!$I$6:$K$22,3),0)</f>
        <v>1912173.3333333335</v>
      </c>
      <c r="AK116" s="20">
        <f t="shared" si="211"/>
        <v>4195854.0000000047</v>
      </c>
      <c r="AL116" s="20">
        <f t="shared" si="212"/>
        <v>1898508.3200000019</v>
      </c>
      <c r="AM116" s="20">
        <f t="shared" si="226"/>
        <v>8006535.6533333398</v>
      </c>
      <c r="AN116" s="50">
        <f>+AP88</f>
        <v>30946307.427666694</v>
      </c>
      <c r="AO116" s="78">
        <f t="shared" si="270"/>
        <v>38952843.08100003</v>
      </c>
      <c r="AP116" s="215"/>
      <c r="AQ116" s="2"/>
      <c r="AR116" s="9"/>
    </row>
    <row r="117" spans="1:44" ht="15.75" thickBot="1" x14ac:dyDescent="0.3">
      <c r="A117" s="211"/>
      <c r="B117" s="211"/>
      <c r="C117" s="211"/>
      <c r="D117" s="211"/>
      <c r="E117" s="6">
        <v>5</v>
      </c>
      <c r="F117" s="65">
        <f>+H93</f>
        <v>46.39</v>
      </c>
      <c r="G117" s="6">
        <v>4</v>
      </c>
      <c r="H117" s="16">
        <f>+H116</f>
        <v>45.64</v>
      </c>
      <c r="I117" s="10">
        <f>+I116</f>
        <v>80</v>
      </c>
      <c r="J117" s="19">
        <f t="shared" si="214"/>
        <v>9.3749999999999997E-3</v>
      </c>
      <c r="K117" s="10">
        <f>+K116</f>
        <v>1281</v>
      </c>
      <c r="L117" s="16">
        <f t="shared" si="215"/>
        <v>15.573399999999999</v>
      </c>
      <c r="M117" s="34">
        <f t="shared" si="258"/>
        <v>1.5573399999999999E-2</v>
      </c>
      <c r="N117" s="34">
        <f t="shared" si="176"/>
        <v>0.13875718078738841</v>
      </c>
      <c r="O117" s="34">
        <f t="shared" si="177"/>
        <v>5.4628811333617486</v>
      </c>
      <c r="P117" s="59">
        <f t="shared" si="182"/>
        <v>6</v>
      </c>
      <c r="Q117" s="55">
        <f>IF(O117&gt;0,VLOOKUP(P117,'$ alcantarillado'!$I$5:$L$22,4,FALSE),"0")</f>
        <v>0.14499999999999999</v>
      </c>
      <c r="R117" s="47">
        <f t="shared" si="178"/>
        <v>1.7512582651542437E-2</v>
      </c>
      <c r="S117" s="35">
        <f t="shared" si="179"/>
        <v>0.88926917918804838</v>
      </c>
      <c r="T117" s="58">
        <f>+IF(S117&gt;$B$13,VLOOKUP(P117,'$ alcantarillado'!$I$6:$N$22,5),P117)</f>
        <v>8</v>
      </c>
      <c r="U117" s="55">
        <f>IF(O117&gt;0,VLOOKUP(T117,'$ alcantarillado'!$I$5:$L$22,4),"0")</f>
        <v>0.182</v>
      </c>
      <c r="V117" s="55">
        <f t="shared" si="180"/>
        <v>3.2104005907504223E-2</v>
      </c>
      <c r="W117" s="35">
        <f t="shared" si="181"/>
        <v>0.48509211108635386</v>
      </c>
      <c r="X117" s="35">
        <f t="shared" si="259"/>
        <v>1.2340324195702708</v>
      </c>
      <c r="Y117" s="55">
        <f>IF(T117&gt;0,(VLOOKUP($W117,Relaciones!$A$4:$D$108,2)),"")</f>
        <v>0.84</v>
      </c>
      <c r="Z117" s="35">
        <f t="shared" si="260"/>
        <v>1.0365872324390275</v>
      </c>
      <c r="AA117" s="35">
        <f t="shared" si="261"/>
        <v>0.42656250000000001</v>
      </c>
      <c r="AB117" s="46" t="str">
        <f t="shared" si="262"/>
        <v>OK</v>
      </c>
      <c r="AC117" s="46" t="str">
        <f t="shared" si="263"/>
        <v>OK</v>
      </c>
      <c r="AD117" s="46" t="str">
        <f t="shared" si="264"/>
        <v>OK</v>
      </c>
      <c r="AE117" s="48">
        <f t="shared" si="265"/>
        <v>1</v>
      </c>
      <c r="AF117" s="48">
        <f t="shared" si="265"/>
        <v>1</v>
      </c>
      <c r="AG117" s="48">
        <f t="shared" si="265"/>
        <v>1</v>
      </c>
      <c r="AH117" s="48">
        <f t="shared" si="266"/>
        <v>3</v>
      </c>
      <c r="AI117" s="46">
        <f t="shared" si="267"/>
        <v>0.68199999999999994</v>
      </c>
      <c r="AJ117" s="22">
        <f>IF(AI117&gt;0,I117*VLOOKUP(T117,'$ alcantarillado'!$I$6:$K$22,3),0)</f>
        <v>2654586.666666667</v>
      </c>
      <c r="AK117" s="20">
        <f t="shared" si="211"/>
        <v>4613811.8400000045</v>
      </c>
      <c r="AL117" s="20">
        <f t="shared" si="212"/>
        <v>2011581.2420000019</v>
      </c>
      <c r="AM117" s="22">
        <f t="shared" si="226"/>
        <v>9279979.7486666739</v>
      </c>
      <c r="AN117" s="51">
        <f>+AP93</f>
        <v>31007687.427666698</v>
      </c>
      <c r="AO117" s="79">
        <f t="shared" si="270"/>
        <v>40287667.176333368</v>
      </c>
      <c r="AP117" s="216"/>
      <c r="AQ117" s="10"/>
      <c r="AR117" s="11"/>
    </row>
    <row r="118" spans="1:44" x14ac:dyDescent="0.25">
      <c r="A118" s="211"/>
      <c r="B118" s="211"/>
      <c r="C118" s="211"/>
      <c r="D118" s="211"/>
      <c r="E118" s="4">
        <v>1</v>
      </c>
      <c r="F118" s="27">
        <f>+H73</f>
        <v>46.89</v>
      </c>
      <c r="G118" s="4">
        <v>5</v>
      </c>
      <c r="H118" s="14">
        <f>+H108-2*$B$15</f>
        <v>45.515000000000001</v>
      </c>
      <c r="I118" s="12">
        <f>+I113</f>
        <v>80</v>
      </c>
      <c r="J118" s="18">
        <f>+(F118-H118)/I118</f>
        <v>1.7187500000000001E-2</v>
      </c>
      <c r="K118" s="12">
        <f>+K113</f>
        <v>1281</v>
      </c>
      <c r="L118" s="14">
        <f>IF(K118&lt;38,K118^0.3686*0.7401,IF(K118&lt;235,K118^0.4193*0.6215,IF(K118&lt;932,K118*0.0092+4.2493,K118*0.0069+6.7345)))</f>
        <v>15.573399999999999</v>
      </c>
      <c r="M118" s="31">
        <f>+L118/1000</f>
        <v>1.5573399999999999E-2</v>
      </c>
      <c r="N118" s="31">
        <f t="shared" si="176"/>
        <v>0.12385048123313877</v>
      </c>
      <c r="O118" s="31">
        <f t="shared" si="177"/>
        <v>4.87600319815507</v>
      </c>
      <c r="P118" s="57">
        <f t="shared" si="182"/>
        <v>6</v>
      </c>
      <c r="Q118" s="60">
        <f>IF(O118&gt;0,VLOOKUP(P118,'$ alcantarillado'!$I$5:$L$22,4,FALSE),"0")</f>
        <v>0.14499999999999999</v>
      </c>
      <c r="R118" s="60">
        <f t="shared" si="178"/>
        <v>2.3712149004248704E-2</v>
      </c>
      <c r="S118" s="27">
        <f t="shared" si="179"/>
        <v>0.65676881488934569</v>
      </c>
      <c r="T118" s="57">
        <f>+IF(S118&gt;$B$13,VLOOKUP(P118,'$ alcantarillado'!$I$6:$N$22,5),P118)</f>
        <v>6</v>
      </c>
      <c r="U118" s="60">
        <f>IF(O118&gt;0,VLOOKUP(T118,'$ alcantarillado'!$I$5:$L$22,4),"0")</f>
        <v>0.14499999999999999</v>
      </c>
      <c r="V118" s="60">
        <f t="shared" si="180"/>
        <v>2.3712149004248704E-2</v>
      </c>
      <c r="W118" s="27">
        <f t="shared" si="181"/>
        <v>0.65676881488934569</v>
      </c>
      <c r="X118" s="27">
        <f>IF(T118&gt;0,4*V118/(PI()*(U118)^2),"")</f>
        <v>1.4359688847972396</v>
      </c>
      <c r="Y118" s="60">
        <f>IF(T118&gt;0,(VLOOKUP($W118,Relaciones!$A$4:$D$108,2)),"")</f>
        <v>0.92200000000000004</v>
      </c>
      <c r="Z118" s="27">
        <f>IF(T118&gt;0,Y118*X118,"")</f>
        <v>1.3239633117830549</v>
      </c>
      <c r="AA118" s="27">
        <f>IF(T118&gt;0,250*U118*J118,"")</f>
        <v>0.623046875</v>
      </c>
      <c r="AB118" s="45" t="str">
        <f>IF(T118&gt;0,IF(W118&lt;=$B$13,"OK","No Cumple"),"")</f>
        <v>OK</v>
      </c>
      <c r="AC118" s="45" t="str">
        <f>IF(T118&gt;0,IF(Z118&gt;=$B$12,"OK","No Cumple"),"")</f>
        <v>OK</v>
      </c>
      <c r="AD118" s="45" t="str">
        <f>IF(T118&gt;0,IF(AA118&gt;$B$14,"OK","No Cumple"),"")</f>
        <v>OK</v>
      </c>
      <c r="AE118" s="32">
        <f>+IF(AB118="OK",1,0)</f>
        <v>1</v>
      </c>
      <c r="AF118" s="32">
        <f>+IF(AC118="OK",1,0)</f>
        <v>1</v>
      </c>
      <c r="AG118" s="32">
        <f>+IF(AD118="OK",1,0)</f>
        <v>1</v>
      </c>
      <c r="AH118" s="32">
        <f>SUM(AE118:AG118)</f>
        <v>3</v>
      </c>
      <c r="AI118" s="45">
        <f>IF(AH118=3,2*$B$7+U118,0)</f>
        <v>0.64500000000000002</v>
      </c>
      <c r="AJ118" s="21">
        <f>IF(AI118&gt;0,I118*VLOOKUP(T118,'$ alcantarillado'!$I$6:$K$22,3),0)</f>
        <v>1912173.3333333335</v>
      </c>
      <c r="AK118" s="61">
        <f t="shared" si="211"/>
        <v>3905604.0000000042</v>
      </c>
      <c r="AL118" s="61">
        <f t="shared" si="212"/>
        <v>1636765.4450000019</v>
      </c>
      <c r="AM118" s="21">
        <f>IF(AJ118&gt;0,AJ118+AK118+AL118,0)</f>
        <v>7454542.7783333398</v>
      </c>
      <c r="AN118" s="49">
        <f>IF(AP73&gt;0,+AP73,0)</f>
        <v>0</v>
      </c>
      <c r="AO118" s="77" t="str">
        <f>IF((AM118)&gt;0,IF(AN118&gt;0,AM118+AN118,""),"")</f>
        <v/>
      </c>
      <c r="AP118" s="213">
        <f t="shared" ref="AP118" si="271">+MIN(AO118:AO122)</f>
        <v>38746165.45600003</v>
      </c>
      <c r="AQ118" s="2"/>
      <c r="AR118" s="9"/>
    </row>
    <row r="119" spans="1:44" x14ac:dyDescent="0.25">
      <c r="A119" s="211"/>
      <c r="B119" s="211"/>
      <c r="C119" s="211"/>
      <c r="D119" s="211"/>
      <c r="E119" s="5">
        <v>2</v>
      </c>
      <c r="F119" s="35">
        <f>+H78</f>
        <v>46.765000000000001</v>
      </c>
      <c r="G119" s="5">
        <v>5</v>
      </c>
      <c r="H119" s="15">
        <f>+H118</f>
        <v>45.515000000000001</v>
      </c>
      <c r="I119" s="2">
        <f>+I118</f>
        <v>80</v>
      </c>
      <c r="J119" s="18">
        <f t="shared" si="214"/>
        <v>1.5625E-2</v>
      </c>
      <c r="K119" s="2">
        <f>+K118</f>
        <v>1281</v>
      </c>
      <c r="L119" s="15">
        <f t="shared" si="215"/>
        <v>15.573399999999999</v>
      </c>
      <c r="M119" s="33">
        <f t="shared" ref="M119:M122" si="272">+L119/1000</f>
        <v>1.5573399999999999E-2</v>
      </c>
      <c r="N119" s="33">
        <f t="shared" si="176"/>
        <v>0.12608366572140306</v>
      </c>
      <c r="O119" s="33">
        <f t="shared" si="177"/>
        <v>4.9639238472993332</v>
      </c>
      <c r="P119" s="58">
        <f t="shared" si="182"/>
        <v>6</v>
      </c>
      <c r="Q119" s="55">
        <f>IF(O119&gt;0,VLOOKUP(P119,'$ alcantarillado'!$I$5:$L$22,4,FALSE),"0")</f>
        <v>0.14499999999999999</v>
      </c>
      <c r="R119" s="55">
        <f t="shared" si="178"/>
        <v>2.2608646986168258E-2</v>
      </c>
      <c r="S119" s="35">
        <f t="shared" si="179"/>
        <v>0.68882494425817031</v>
      </c>
      <c r="T119" s="58">
        <f>+IF(S119&gt;$B$13,VLOOKUP(P119,'$ alcantarillado'!$I$6:$N$22,5),P119)</f>
        <v>6</v>
      </c>
      <c r="U119" s="55">
        <f>IF(O119&gt;0,VLOOKUP(T119,'$ alcantarillado'!$I$5:$L$22,4),"0")</f>
        <v>0.14499999999999999</v>
      </c>
      <c r="V119" s="55">
        <f t="shared" si="180"/>
        <v>2.2608646986168258E-2</v>
      </c>
      <c r="W119" s="35">
        <f t="shared" ref="W119:W147" si="273">IF(T119&gt;0,M119/V119,0)</f>
        <v>0.68882494425817031</v>
      </c>
      <c r="X119" s="35">
        <f t="shared" ref="X119:X122" si="274">IF(T119&gt;0,4*V119/(PI()*(U119)^2),"")</f>
        <v>1.3691426109748814</v>
      </c>
      <c r="Y119" s="55">
        <f>IF(T119&gt;0,(VLOOKUP($W119,Relaciones!$A$4:$D$108,2)),"")</f>
        <v>0.93600000000000005</v>
      </c>
      <c r="Z119" s="35">
        <f t="shared" ref="Z119:Z122" si="275">IF(T119&gt;0,Y119*X119,"")</f>
        <v>1.2815174838724892</v>
      </c>
      <c r="AA119" s="35">
        <f t="shared" ref="AA119:AA122" si="276">IF(T119&gt;0,250*U119*J119,"")</f>
        <v>0.56640625</v>
      </c>
      <c r="AB119" s="46" t="str">
        <f t="shared" ref="AB119:AB122" si="277">IF(T119&gt;0,IF(W119&lt;=$B$13,"OK","No Cumple"),"")</f>
        <v>OK</v>
      </c>
      <c r="AC119" s="46" t="str">
        <f t="shared" ref="AC119:AC122" si="278">IF(T119&gt;0,IF(Z119&gt;=$B$12,"OK","No Cumple"),"")</f>
        <v>OK</v>
      </c>
      <c r="AD119" s="46" t="str">
        <f t="shared" ref="AD119:AD122" si="279">IF(T119&gt;0,IF(AA119&gt;$B$14,"OK","No Cumple"),"")</f>
        <v>OK</v>
      </c>
      <c r="AE119" s="48">
        <f t="shared" ref="AE119:AG122" si="280">+IF(AB119="OK",1,0)</f>
        <v>1</v>
      </c>
      <c r="AF119" s="48">
        <f t="shared" si="280"/>
        <v>1</v>
      </c>
      <c r="AG119" s="48">
        <f t="shared" si="280"/>
        <v>1</v>
      </c>
      <c r="AH119" s="48">
        <f t="shared" ref="AH119:AH122" si="281">SUM(AE119:AG119)</f>
        <v>3</v>
      </c>
      <c r="AI119" s="46">
        <f t="shared" ref="AI119:AI122" si="282">IF(AH119=3,2*$B$7+U119,0)</f>
        <v>0.64500000000000002</v>
      </c>
      <c r="AJ119" s="20">
        <f>IF(AI119&gt;0,I119*VLOOKUP(T119,'$ alcantarillado'!$I$6:$K$22,3),0)</f>
        <v>1912173.3333333335</v>
      </c>
      <c r="AK119" s="20">
        <f t="shared" si="211"/>
        <v>4021704.0000000047</v>
      </c>
      <c r="AL119" s="20">
        <f t="shared" si="212"/>
        <v>1724013.0700000019</v>
      </c>
      <c r="AM119" s="20">
        <f t="shared" si="226"/>
        <v>7657890.4033333398</v>
      </c>
      <c r="AN119" s="50">
        <f>+AP78</f>
        <v>0</v>
      </c>
      <c r="AO119" s="78" t="str">
        <f t="shared" ref="AO119:AO122" si="283">IF((AM119)&gt;0,IF(AN119&gt;0,AM119+AN119,""),"")</f>
        <v/>
      </c>
      <c r="AP119" s="214"/>
      <c r="AQ119" s="2"/>
      <c r="AR119" s="9"/>
    </row>
    <row r="120" spans="1:44" x14ac:dyDescent="0.25">
      <c r="A120" s="211"/>
      <c r="B120" s="211"/>
      <c r="C120" s="211"/>
      <c r="D120" s="211"/>
      <c r="E120" s="56">
        <v>3</v>
      </c>
      <c r="F120" s="35">
        <f>+H83</f>
        <v>46.64</v>
      </c>
      <c r="G120" s="56">
        <v>5</v>
      </c>
      <c r="H120" s="15">
        <f t="shared" ref="H120:I121" si="284">+H119</f>
        <v>45.515000000000001</v>
      </c>
      <c r="I120" s="2">
        <f t="shared" si="284"/>
        <v>80</v>
      </c>
      <c r="J120" s="18">
        <f t="shared" si="214"/>
        <v>1.40625E-2</v>
      </c>
      <c r="K120" s="2">
        <f t="shared" ref="K120:K121" si="285">+K119</f>
        <v>1281</v>
      </c>
      <c r="L120" s="15">
        <f t="shared" si="215"/>
        <v>15.573399999999999</v>
      </c>
      <c r="M120" s="33">
        <f t="shared" si="272"/>
        <v>1.5573399999999999E-2</v>
      </c>
      <c r="N120" s="33">
        <f t="shared" si="176"/>
        <v>0.12859922649084177</v>
      </c>
      <c r="O120" s="33">
        <f t="shared" si="177"/>
        <v>5.062961672867786</v>
      </c>
      <c r="P120" s="58">
        <f>IF(O120&lt;0.1,0,IF(O120&lt;4,6,EVEN(O120)))</f>
        <v>6</v>
      </c>
      <c r="Q120" s="55">
        <f>IF(O120&gt;0,VLOOKUP(P120,'$ alcantarillado'!$I$5:$L$22,4,FALSE),"0")</f>
        <v>0.14499999999999999</v>
      </c>
      <c r="R120" s="55">
        <f t="shared" si="178"/>
        <v>2.1448445787297914E-2</v>
      </c>
      <c r="S120" s="35">
        <f t="shared" si="179"/>
        <v>0.72608524433144694</v>
      </c>
      <c r="T120" s="58">
        <f>+IF(S120&gt;$B$13,VLOOKUP(P120,'$ alcantarillado'!$I$6:$N$22,5),P120)</f>
        <v>6</v>
      </c>
      <c r="U120" s="55">
        <f>IF(O120&gt;0,VLOOKUP(T120,'$ alcantarillado'!$I$5:$L$22,4),"0")</f>
        <v>0.14499999999999999</v>
      </c>
      <c r="V120" s="55">
        <f t="shared" si="180"/>
        <v>2.1448445787297914E-2</v>
      </c>
      <c r="W120" s="35">
        <f t="shared" si="273"/>
        <v>0.72608524433144694</v>
      </c>
      <c r="X120" s="35">
        <f t="shared" si="274"/>
        <v>1.2988827276811423</v>
      </c>
      <c r="Y120" s="55">
        <f>IF(T120&gt;0,(VLOOKUP($W120,Relaciones!$A$4:$D$108,2)),"")</f>
        <v>0.95499999999999996</v>
      </c>
      <c r="Z120" s="35">
        <f t="shared" si="275"/>
        <v>1.2404330049354908</v>
      </c>
      <c r="AA120" s="35">
        <f t="shared" si="276"/>
        <v>0.509765625</v>
      </c>
      <c r="AB120" s="46" t="str">
        <f t="shared" si="277"/>
        <v>OK</v>
      </c>
      <c r="AC120" s="46" t="str">
        <f t="shared" si="278"/>
        <v>OK</v>
      </c>
      <c r="AD120" s="46" t="str">
        <f t="shared" si="279"/>
        <v>OK</v>
      </c>
      <c r="AE120" s="48">
        <f t="shared" si="280"/>
        <v>1</v>
      </c>
      <c r="AF120" s="48">
        <f t="shared" si="280"/>
        <v>1</v>
      </c>
      <c r="AG120" s="48">
        <f t="shared" si="280"/>
        <v>1</v>
      </c>
      <c r="AH120" s="48">
        <f t="shared" si="281"/>
        <v>3</v>
      </c>
      <c r="AI120" s="46">
        <f t="shared" si="282"/>
        <v>0.64500000000000002</v>
      </c>
      <c r="AJ120" s="20">
        <f>IF(AI120&gt;0,I120*VLOOKUP(T120,'$ alcantarillado'!$I$6:$K$22,3),0)</f>
        <v>1912173.3333333335</v>
      </c>
      <c r="AK120" s="20">
        <f t="shared" si="211"/>
        <v>4137804.0000000042</v>
      </c>
      <c r="AL120" s="20">
        <f t="shared" si="212"/>
        <v>1811260.6950000019</v>
      </c>
      <c r="AM120" s="20">
        <f t="shared" si="226"/>
        <v>7861238.0283333398</v>
      </c>
      <c r="AN120" s="50">
        <f>+AP83</f>
        <v>30884927.427666694</v>
      </c>
      <c r="AO120" s="78">
        <f t="shared" si="283"/>
        <v>38746165.45600003</v>
      </c>
      <c r="AP120" s="215"/>
      <c r="AQ120" s="2">
        <v>3</v>
      </c>
      <c r="AR120" s="9">
        <v>5</v>
      </c>
    </row>
    <row r="121" spans="1:44" x14ac:dyDescent="0.25">
      <c r="A121" s="211"/>
      <c r="B121" s="211"/>
      <c r="C121" s="211"/>
      <c r="D121" s="211"/>
      <c r="E121" s="56">
        <v>4</v>
      </c>
      <c r="F121" s="35">
        <f>+H88</f>
        <v>46.515000000000001</v>
      </c>
      <c r="G121" s="56">
        <v>5</v>
      </c>
      <c r="H121" s="15">
        <f t="shared" si="284"/>
        <v>45.515000000000001</v>
      </c>
      <c r="I121" s="2">
        <f t="shared" si="284"/>
        <v>80</v>
      </c>
      <c r="J121" s="18">
        <f>+(F121-H121)/I121</f>
        <v>1.2500000000000001E-2</v>
      </c>
      <c r="K121" s="2">
        <f t="shared" si="285"/>
        <v>1281</v>
      </c>
      <c r="L121" s="15">
        <f t="shared" si="215"/>
        <v>15.573399999999999</v>
      </c>
      <c r="M121" s="33">
        <f t="shared" si="272"/>
        <v>1.5573399999999999E-2</v>
      </c>
      <c r="N121" s="33">
        <f t="shared" si="176"/>
        <v>0.13147084501519965</v>
      </c>
      <c r="O121" s="33">
        <f t="shared" si="177"/>
        <v>5.1760175202834509</v>
      </c>
      <c r="P121" s="58">
        <f t="shared" si="182"/>
        <v>6</v>
      </c>
      <c r="Q121" s="55">
        <f>IF(O121&gt;0,VLOOKUP(P121,'$ alcantarillado'!$I$5:$L$22,4,FALSE),"0")</f>
        <v>0.14499999999999999</v>
      </c>
      <c r="R121" s="55">
        <f t="shared" si="178"/>
        <v>2.0221788616147186E-2</v>
      </c>
      <c r="S121" s="35">
        <f t="shared" si="179"/>
        <v>0.77012969997938618</v>
      </c>
      <c r="T121" s="58">
        <f>+IF(S121&gt;$B$13,VLOOKUP(P121,'$ alcantarillado'!$I$6:$N$22,5),P121)</f>
        <v>6</v>
      </c>
      <c r="U121" s="55">
        <f>IF(O121&gt;0,VLOOKUP(T121,'$ alcantarillado'!$I$5:$L$22,4),"0")</f>
        <v>0.14499999999999999</v>
      </c>
      <c r="V121" s="55">
        <f t="shared" si="180"/>
        <v>2.0221788616147186E-2</v>
      </c>
      <c r="W121" s="35">
        <f t="shared" si="273"/>
        <v>0.77012969997938618</v>
      </c>
      <c r="X121" s="35">
        <f t="shared" si="274"/>
        <v>1.2245983796125537</v>
      </c>
      <c r="Y121" s="55">
        <f>IF(T121&gt;0,(VLOOKUP($W121,Relaciones!$A$4:$D$108,2)),"")</f>
        <v>0.97199999999999998</v>
      </c>
      <c r="Z121" s="35">
        <f t="shared" si="275"/>
        <v>1.1903096249834022</v>
      </c>
      <c r="AA121" s="35">
        <f t="shared" si="276"/>
        <v>0.453125</v>
      </c>
      <c r="AB121" s="46" t="str">
        <f t="shared" si="277"/>
        <v>OK</v>
      </c>
      <c r="AC121" s="46" t="str">
        <f t="shared" si="278"/>
        <v>OK</v>
      </c>
      <c r="AD121" s="46" t="str">
        <f t="shared" si="279"/>
        <v>OK</v>
      </c>
      <c r="AE121" s="48">
        <f t="shared" si="280"/>
        <v>1</v>
      </c>
      <c r="AF121" s="48">
        <f t="shared" si="280"/>
        <v>1</v>
      </c>
      <c r="AG121" s="48">
        <f t="shared" si="280"/>
        <v>1</v>
      </c>
      <c r="AH121" s="48">
        <f t="shared" si="281"/>
        <v>3</v>
      </c>
      <c r="AI121" s="46">
        <f t="shared" si="282"/>
        <v>0.64500000000000002</v>
      </c>
      <c r="AJ121" s="20">
        <f>IF(AI121&gt;0,I121*VLOOKUP(T121,'$ alcantarillado'!$I$6:$K$22,3),0)</f>
        <v>1912173.3333333335</v>
      </c>
      <c r="AK121" s="20">
        <f t="shared" si="211"/>
        <v>4253904.0000000047</v>
      </c>
      <c r="AL121" s="20">
        <f t="shared" si="212"/>
        <v>1898508.3200000019</v>
      </c>
      <c r="AM121" s="20">
        <f t="shared" si="226"/>
        <v>8064585.6533333398</v>
      </c>
      <c r="AN121" s="50">
        <f>+AP88</f>
        <v>30946307.427666694</v>
      </c>
      <c r="AO121" s="78">
        <f t="shared" si="283"/>
        <v>39010893.08100003</v>
      </c>
      <c r="AP121" s="215"/>
      <c r="AQ121" s="2"/>
      <c r="AR121" s="9"/>
    </row>
    <row r="122" spans="1:44" ht="15.75" thickBot="1" x14ac:dyDescent="0.3">
      <c r="A122" s="212"/>
      <c r="B122" s="212"/>
      <c r="C122" s="212"/>
      <c r="D122" s="212"/>
      <c r="E122" s="6">
        <v>5</v>
      </c>
      <c r="F122" s="65">
        <f>+H93</f>
        <v>46.39</v>
      </c>
      <c r="G122" s="6">
        <v>5</v>
      </c>
      <c r="H122" s="16">
        <f>+H121</f>
        <v>45.515000000000001</v>
      </c>
      <c r="I122" s="10">
        <f>+I121</f>
        <v>80</v>
      </c>
      <c r="J122" s="19">
        <f t="shared" si="214"/>
        <v>1.0937499999999999E-2</v>
      </c>
      <c r="K122" s="10">
        <f>+K121</f>
        <v>1281</v>
      </c>
      <c r="L122" s="16">
        <f t="shared" si="215"/>
        <v>15.573399999999999</v>
      </c>
      <c r="M122" s="34">
        <f t="shared" si="272"/>
        <v>1.5573399999999999E-2</v>
      </c>
      <c r="N122" s="34">
        <f t="shared" si="176"/>
        <v>0.13480405130829018</v>
      </c>
      <c r="O122" s="34">
        <f t="shared" si="177"/>
        <v>5.3072461144996135</v>
      </c>
      <c r="P122" s="59">
        <f t="shared" si="182"/>
        <v>6</v>
      </c>
      <c r="Q122" s="55">
        <f>IF(O122&gt;0,VLOOKUP(P122,'$ alcantarillado'!$I$5:$L$22,4,FALSE),"0")</f>
        <v>0.14499999999999999</v>
      </c>
      <c r="R122" s="47">
        <f t="shared" si="178"/>
        <v>1.8915751187347084E-2</v>
      </c>
      <c r="S122" s="35">
        <f t="shared" si="179"/>
        <v>0.823303280200534</v>
      </c>
      <c r="T122" s="58">
        <f>+IF(S122&gt;$B$13,VLOOKUP(P122,'$ alcantarillado'!$I$6:$N$22,5),P122)</f>
        <v>6</v>
      </c>
      <c r="U122" s="55">
        <f>IF(O122&gt;0,VLOOKUP(T122,'$ alcantarillado'!$I$5:$L$22,4),"0")</f>
        <v>0.14499999999999999</v>
      </c>
      <c r="V122" s="55">
        <f t="shared" si="180"/>
        <v>1.8915751187347084E-2</v>
      </c>
      <c r="W122" s="35">
        <f t="shared" si="273"/>
        <v>0.823303280200534</v>
      </c>
      <c r="X122" s="35">
        <f t="shared" si="274"/>
        <v>1.1455068932271779</v>
      </c>
      <c r="Y122" s="55">
        <f>IF(T122&gt;0,(VLOOKUP($W122,Relaciones!$A$4:$D$108,2)),"")</f>
        <v>0.99</v>
      </c>
      <c r="Z122" s="35">
        <f t="shared" si="275"/>
        <v>1.134051824294906</v>
      </c>
      <c r="AA122" s="35">
        <f t="shared" si="276"/>
        <v>0.396484375</v>
      </c>
      <c r="AB122" s="46" t="str">
        <f t="shared" si="277"/>
        <v>OK</v>
      </c>
      <c r="AC122" s="46" t="str">
        <f t="shared" si="278"/>
        <v>OK</v>
      </c>
      <c r="AD122" s="46" t="str">
        <f t="shared" si="279"/>
        <v>OK</v>
      </c>
      <c r="AE122" s="48">
        <f t="shared" si="280"/>
        <v>1</v>
      </c>
      <c r="AF122" s="48">
        <f t="shared" si="280"/>
        <v>1</v>
      </c>
      <c r="AG122" s="48">
        <f t="shared" si="280"/>
        <v>1</v>
      </c>
      <c r="AH122" s="48">
        <f t="shared" si="281"/>
        <v>3</v>
      </c>
      <c r="AI122" s="46">
        <f t="shared" si="282"/>
        <v>0.64500000000000002</v>
      </c>
      <c r="AJ122" s="22">
        <f>IF(AI122&gt;0,I122*VLOOKUP(T122,'$ alcantarillado'!$I$6:$K$22,3),0)</f>
        <v>1912173.3333333335</v>
      </c>
      <c r="AK122" s="20">
        <f t="shared" si="211"/>
        <v>4370004.0000000047</v>
      </c>
      <c r="AL122" s="20">
        <f t="shared" si="212"/>
        <v>1985755.9450000019</v>
      </c>
      <c r="AM122" s="22">
        <f t="shared" si="226"/>
        <v>8267933.2783333398</v>
      </c>
      <c r="AN122" s="51">
        <f>+AP93</f>
        <v>31007687.427666698</v>
      </c>
      <c r="AO122" s="79">
        <f t="shared" si="283"/>
        <v>39275620.706000037</v>
      </c>
      <c r="AP122" s="216"/>
      <c r="AQ122" s="2"/>
      <c r="AR122" s="9"/>
    </row>
    <row r="123" spans="1:44" x14ac:dyDescent="0.25">
      <c r="A123" s="229">
        <v>5</v>
      </c>
      <c r="B123" s="229">
        <f>+C98</f>
        <v>7</v>
      </c>
      <c r="C123" s="229">
        <v>10</v>
      </c>
      <c r="D123" s="229">
        <v>49.09</v>
      </c>
      <c r="E123" s="127">
        <v>1</v>
      </c>
      <c r="F123" s="129">
        <f>+H98</f>
        <v>46.015000000000001</v>
      </c>
      <c r="G123" s="127">
        <v>1</v>
      </c>
      <c r="H123" s="136">
        <f>+H133+2*$B$15</f>
        <v>44.89</v>
      </c>
      <c r="I123" s="129">
        <v>75</v>
      </c>
      <c r="J123" s="130">
        <f>+(F123-H123)/I123</f>
        <v>1.4999999999999999E-2</v>
      </c>
      <c r="K123" s="129">
        <f>+K112+H7</f>
        <v>1460</v>
      </c>
      <c r="L123" s="132">
        <f>IF(K123&lt;38,K123^0.3686*0.7401,IF(K123&lt;235,K123^0.4193*0.6215,IF(K123&lt;932,K123*0.0092+4.2493,K123*0.0069+6.7345)))</f>
        <v>16.808499999999999</v>
      </c>
      <c r="M123" s="133">
        <f>+L123/1000</f>
        <v>1.6808499999999997E-2</v>
      </c>
      <c r="N123" s="133">
        <f t="shared" si="176"/>
        <v>0.13074122224264353</v>
      </c>
      <c r="O123" s="133">
        <f t="shared" si="177"/>
        <v>5.1472922142773045</v>
      </c>
      <c r="P123" s="134">
        <f t="shared" si="182"/>
        <v>6</v>
      </c>
      <c r="Q123" s="135">
        <f>IF(O123&gt;0,VLOOKUP(P123,'$ alcantarillado'!$I$5:$L$22,4,FALSE),"0")</f>
        <v>0.14499999999999999</v>
      </c>
      <c r="R123" s="135">
        <f t="shared" si="178"/>
        <v>2.2151859556329985E-2</v>
      </c>
      <c r="S123" s="136">
        <f t="shared" si="179"/>
        <v>0.7587850562729348</v>
      </c>
      <c r="T123" s="134">
        <f>+IF(S123&gt;$B$13,VLOOKUP(P123,'$ alcantarillado'!$I$6:$N$22,5),P123)</f>
        <v>6</v>
      </c>
      <c r="U123" s="135">
        <f>IF(O123&gt;0,VLOOKUP(T123,'$ alcantarillado'!$I$5:$L$22,4),"0")</f>
        <v>0.14499999999999999</v>
      </c>
      <c r="V123" s="135">
        <f t="shared" si="180"/>
        <v>2.2151859556329985E-2</v>
      </c>
      <c r="W123" s="136">
        <f t="shared" si="273"/>
        <v>0.7587850562729348</v>
      </c>
      <c r="X123" s="136">
        <f>IF(T123&gt;0,4*V123/(PI()*(U123)^2),"")</f>
        <v>1.3414803127961406</v>
      </c>
      <c r="Y123" s="135">
        <f>IF(T123&gt;0,(VLOOKUP($W123,Relaciones!$A$4:$D$108,2)),"")</f>
        <v>0.96499999999999997</v>
      </c>
      <c r="Z123" s="136">
        <f>IF(T123&gt;0,Y123*X123,"")</f>
        <v>1.2945285018482755</v>
      </c>
      <c r="AA123" s="136">
        <f>IF(T123&gt;0,250*U123*J123,"")</f>
        <v>0.54374999999999996</v>
      </c>
      <c r="AB123" s="137" t="str">
        <f>IF(T123&gt;0,IF(W123&lt;=$B$13,"OK","No Cumple"),"")</f>
        <v>OK</v>
      </c>
      <c r="AC123" s="137" t="str">
        <f>IF(T123&gt;0,IF(Z123&gt;=$B$12,"OK","No Cumple"),"")</f>
        <v>OK</v>
      </c>
      <c r="AD123" s="137" t="str">
        <f>IF(T123&gt;0,IF(AA123&gt;$B$14,"OK","No Cumple"),"")</f>
        <v>OK</v>
      </c>
      <c r="AE123" s="138">
        <f>+IF(AB123="OK",1,0)</f>
        <v>1</v>
      </c>
      <c r="AF123" s="138">
        <f>+IF(AC123="OK",1,0)</f>
        <v>1</v>
      </c>
      <c r="AG123" s="138">
        <f>+IF(AD123="OK",1,0)</f>
        <v>1</v>
      </c>
      <c r="AH123" s="138">
        <f>SUM(AE123:AG123)</f>
        <v>3</v>
      </c>
      <c r="AI123" s="137">
        <f>IF(AH123=3,2*$B$7+U123,0)</f>
        <v>0.64500000000000002</v>
      </c>
      <c r="AJ123" s="139">
        <f>IF(AI123&gt;0,I123*VLOOKUP(T123,'$ alcantarillado'!$I$6:$K$22,3),0)</f>
        <v>1792662.5</v>
      </c>
      <c r="AK123" s="139">
        <f t="shared" ref="AK123:AK147" si="286">IF(N123&gt;0,((($D$123-F123)+(U123))+(($D$148-H123)+(U123))/2)*AI123*I123*$C$9,0)</f>
        <v>4260144.3750000037</v>
      </c>
      <c r="AL123" s="139">
        <f t="shared" ref="AL123:AL147" si="287">IF(AI123&gt;0,(($D$123-F123)+U123)*$C$10,0)</f>
        <v>2247498.8200000022</v>
      </c>
      <c r="AM123" s="139">
        <f>IF(AJ123&gt;0,AJ123+AK123+AL123,0)</f>
        <v>8300305.6950000059</v>
      </c>
      <c r="AN123" s="162">
        <f>IF(AP98&gt;0,+AP98,0)</f>
        <v>39560751.926333368</v>
      </c>
      <c r="AO123" s="140">
        <f>IF((AM123)&gt;0,IF(AN123&gt;0,AM123+AN123,""),"")</f>
        <v>47861057.621333376</v>
      </c>
      <c r="AP123" s="217">
        <f>+MIN(AO123:AO127)</f>
        <v>47861057.621333376</v>
      </c>
      <c r="AQ123" s="129"/>
      <c r="AR123" s="163"/>
    </row>
    <row r="124" spans="1:44" x14ac:dyDescent="0.25">
      <c r="A124" s="230"/>
      <c r="B124" s="230"/>
      <c r="C124" s="230"/>
      <c r="D124" s="230"/>
      <c r="E124" s="141">
        <v>2</v>
      </c>
      <c r="F124" s="142">
        <f>+H103</f>
        <v>45.89</v>
      </c>
      <c r="G124" s="141">
        <v>1</v>
      </c>
      <c r="H124" s="146">
        <f>+H123</f>
        <v>44.89</v>
      </c>
      <c r="I124" s="142">
        <f>+I123</f>
        <v>75</v>
      </c>
      <c r="J124" s="143">
        <f t="shared" ref="J124:J147" si="288">+(F124-H124)/I124</f>
        <v>1.3333333333333334E-2</v>
      </c>
      <c r="K124" s="142">
        <f>+K123</f>
        <v>1460</v>
      </c>
      <c r="L124" s="128">
        <f t="shared" ref="L124:L147" si="289">IF(K124&lt;38,K124^0.3686*0.7401,IF(K124&lt;235,K124^0.4193*0.6215,IF(K124&lt;932,K124*0.0092+4.2493,K124*0.0069+6.7345)))</f>
        <v>16.808499999999999</v>
      </c>
      <c r="M124" s="144">
        <f t="shared" ref="M124:M127" si="290">+L124/1000</f>
        <v>1.6808499999999997E-2</v>
      </c>
      <c r="N124" s="144">
        <f t="shared" si="176"/>
        <v>0.13366067149544208</v>
      </c>
      <c r="O124" s="144">
        <f t="shared" si="177"/>
        <v>5.2622311612378772</v>
      </c>
      <c r="P124" s="145">
        <f t="shared" si="182"/>
        <v>6</v>
      </c>
      <c r="Q124" s="113">
        <f>IF(O124&gt;0,VLOOKUP(P124,'$ alcantarillado'!$I$5:$L$22,4,FALSE),"0")</f>
        <v>0.14499999999999999</v>
      </c>
      <c r="R124" s="113">
        <f t="shared" si="178"/>
        <v>2.0884973477563944E-2</v>
      </c>
      <c r="S124" s="146">
        <f t="shared" si="179"/>
        <v>0.80481308813041241</v>
      </c>
      <c r="T124" s="145">
        <f>+IF(S124&gt;$B$13,VLOOKUP(P124,'$ alcantarillado'!$I$6:$N$22,5),P124)</f>
        <v>6</v>
      </c>
      <c r="U124" s="113">
        <f>IF(O124&gt;0,VLOOKUP(T124,'$ alcantarillado'!$I$5:$L$22,4),"0")</f>
        <v>0.14499999999999999</v>
      </c>
      <c r="V124" s="113">
        <f t="shared" si="180"/>
        <v>2.0884973477563944E-2</v>
      </c>
      <c r="W124" s="146">
        <f t="shared" si="273"/>
        <v>0.80481308813041241</v>
      </c>
      <c r="X124" s="146">
        <f t="shared" ref="X124:X127" si="291">IF(T124&gt;0,4*V124/(PI()*(U124)^2),"")</f>
        <v>1.2647597680085358</v>
      </c>
      <c r="Y124" s="113">
        <f>IF(T124&gt;0,(VLOOKUP($W124,Relaciones!$A$4:$D$108,2)),"")</f>
        <v>0.98399999999999999</v>
      </c>
      <c r="Z124" s="146">
        <f t="shared" ref="Z124:Z127" si="292">IF(T124&gt;0,Y124*X124,"")</f>
        <v>1.2445236117203993</v>
      </c>
      <c r="AA124" s="146">
        <f t="shared" ref="AA124:AA127" si="293">IF(T124&gt;0,250*U124*J124,"")</f>
        <v>0.48333333333333334</v>
      </c>
      <c r="AB124" s="147" t="str">
        <f t="shared" ref="AB124:AB127" si="294">IF(T124&gt;0,IF(W124&lt;=$B$13,"OK","No Cumple"),"")</f>
        <v>OK</v>
      </c>
      <c r="AC124" s="147" t="str">
        <f t="shared" ref="AC124:AC127" si="295">IF(T124&gt;0,IF(Z124&gt;=$B$12,"OK","No Cumple"),"")</f>
        <v>OK</v>
      </c>
      <c r="AD124" s="147" t="str">
        <f t="shared" ref="AD124:AD127" si="296">IF(T124&gt;0,IF(AA124&gt;$B$14,"OK","No Cumple"),"")</f>
        <v>OK</v>
      </c>
      <c r="AE124" s="148">
        <f t="shared" ref="AE124:AG127" si="297">+IF(AB124="OK",1,0)</f>
        <v>1</v>
      </c>
      <c r="AF124" s="148">
        <f t="shared" si="297"/>
        <v>1</v>
      </c>
      <c r="AG124" s="148">
        <f t="shared" si="297"/>
        <v>1</v>
      </c>
      <c r="AH124" s="148">
        <f t="shared" ref="AH124:AH127" si="298">SUM(AE124:AG124)</f>
        <v>3</v>
      </c>
      <c r="AI124" s="147">
        <f t="shared" ref="AI124:AI127" si="299">IF(AH124=3,2*$B$7+U124,0)</f>
        <v>0.64500000000000002</v>
      </c>
      <c r="AJ124" s="149">
        <f>IF(AI124&gt;0,I124*VLOOKUP(T124,'$ alcantarillado'!$I$6:$K$22,3),0)</f>
        <v>1792662.5</v>
      </c>
      <c r="AK124" s="149">
        <f t="shared" si="286"/>
        <v>4368988.1250000037</v>
      </c>
      <c r="AL124" s="149">
        <f t="shared" si="287"/>
        <v>2334746.4450000022</v>
      </c>
      <c r="AM124" s="149">
        <f t="shared" ref="AM124:AM147" si="300">IF(AJ124&gt;0,AJ124+AK124+AL124,0)</f>
        <v>8496397.0700000059</v>
      </c>
      <c r="AN124" s="164">
        <f>+AP103</f>
        <v>39622131.926333368</v>
      </c>
      <c r="AO124" s="150">
        <f t="shared" ref="AO124:AO127" si="301">IF((AM124)&gt;0,IF(AN124&gt;0,AM124+AN124,""),"")</f>
        <v>48118528.996333376</v>
      </c>
      <c r="AP124" s="218"/>
      <c r="AQ124" s="142">
        <v>1</v>
      </c>
      <c r="AR124" s="165">
        <v>1</v>
      </c>
    </row>
    <row r="125" spans="1:44" x14ac:dyDescent="0.25">
      <c r="A125" s="230"/>
      <c r="B125" s="230"/>
      <c r="C125" s="230"/>
      <c r="D125" s="230"/>
      <c r="E125" s="151">
        <v>3</v>
      </c>
      <c r="F125" s="142">
        <f>+H108</f>
        <v>45.765000000000001</v>
      </c>
      <c r="G125" s="151">
        <v>1</v>
      </c>
      <c r="H125" s="142">
        <f t="shared" ref="H125:I126" si="302">+H124</f>
        <v>44.89</v>
      </c>
      <c r="I125" s="142">
        <f t="shared" si="302"/>
        <v>75</v>
      </c>
      <c r="J125" s="143">
        <f t="shared" si="288"/>
        <v>1.1666666666666667E-2</v>
      </c>
      <c r="K125" s="142">
        <f t="shared" ref="K125:K126" si="303">+K124</f>
        <v>1460</v>
      </c>
      <c r="L125" s="128">
        <f t="shared" si="289"/>
        <v>16.808499999999999</v>
      </c>
      <c r="M125" s="144">
        <f t="shared" si="290"/>
        <v>1.6808499999999997E-2</v>
      </c>
      <c r="N125" s="144">
        <f t="shared" si="176"/>
        <v>0.13704939689167578</v>
      </c>
      <c r="O125" s="144">
        <f t="shared" si="177"/>
        <v>5.3956455469163691</v>
      </c>
      <c r="P125" s="145">
        <f t="shared" si="182"/>
        <v>6</v>
      </c>
      <c r="Q125" s="113">
        <f>IF(O125&gt;0,VLOOKUP(P125,'$ alcantarillado'!$I$5:$L$22,4,FALSE),"0")</f>
        <v>0.14499999999999999</v>
      </c>
      <c r="R125" s="113">
        <f t="shared" si="178"/>
        <v>1.9536103821226249E-2</v>
      </c>
      <c r="S125" s="146">
        <f t="shared" si="179"/>
        <v>0.8603813817644298</v>
      </c>
      <c r="T125" s="145">
        <f>+IF(S125&gt;$B$13,VLOOKUP(P125,'$ alcantarillado'!$I$6:$N$22,5),P125)</f>
        <v>8</v>
      </c>
      <c r="U125" s="113">
        <f>IF(O125&gt;0,VLOOKUP(T125,'$ alcantarillado'!$I$5:$L$22,4),"0")</f>
        <v>0.182</v>
      </c>
      <c r="V125" s="113">
        <f t="shared" si="180"/>
        <v>3.5813517912563465E-2</v>
      </c>
      <c r="W125" s="146">
        <f t="shared" si="273"/>
        <v>0.46933395487806956</v>
      </c>
      <c r="X125" s="146">
        <f t="shared" si="291"/>
        <v>1.3766207958687628</v>
      </c>
      <c r="Y125" s="113">
        <f>IF(T125&gt;0,(VLOOKUP($W125,Relaciones!$A$4:$D$108,2)),"")</f>
        <v>0.83</v>
      </c>
      <c r="Z125" s="146">
        <f t="shared" si="292"/>
        <v>1.1425952605710732</v>
      </c>
      <c r="AA125" s="146">
        <f t="shared" si="293"/>
        <v>0.53083333333333338</v>
      </c>
      <c r="AB125" s="147" t="str">
        <f t="shared" si="294"/>
        <v>OK</v>
      </c>
      <c r="AC125" s="147" t="str">
        <f t="shared" si="295"/>
        <v>OK</v>
      </c>
      <c r="AD125" s="147" t="str">
        <f t="shared" si="296"/>
        <v>OK</v>
      </c>
      <c r="AE125" s="148">
        <f t="shared" si="297"/>
        <v>1</v>
      </c>
      <c r="AF125" s="148">
        <f t="shared" si="297"/>
        <v>1</v>
      </c>
      <c r="AG125" s="148">
        <f t="shared" si="297"/>
        <v>1</v>
      </c>
      <c r="AH125" s="148">
        <f t="shared" si="298"/>
        <v>3</v>
      </c>
      <c r="AI125" s="147">
        <f t="shared" si="299"/>
        <v>0.68199999999999994</v>
      </c>
      <c r="AJ125" s="149">
        <f>IF(AI125&gt;0,I125*VLOOKUP(T125,'$ alcantarillado'!$I$6:$K$22,3),0)</f>
        <v>2488675</v>
      </c>
      <c r="AK125" s="149">
        <f t="shared" si="286"/>
        <v>4785798.6000000034</v>
      </c>
      <c r="AL125" s="149">
        <f t="shared" si="287"/>
        <v>2447819.3670000019</v>
      </c>
      <c r="AM125" s="149">
        <f t="shared" si="300"/>
        <v>9722292.9670000058</v>
      </c>
      <c r="AN125" s="164">
        <f>+AP108</f>
        <v>38630065.45600003</v>
      </c>
      <c r="AO125" s="150">
        <f t="shared" si="301"/>
        <v>48352358.423000038</v>
      </c>
      <c r="AP125" s="219"/>
      <c r="AQ125" s="142"/>
      <c r="AR125" s="165"/>
    </row>
    <row r="126" spans="1:44" x14ac:dyDescent="0.25">
      <c r="A126" s="230"/>
      <c r="B126" s="230"/>
      <c r="C126" s="230"/>
      <c r="D126" s="230"/>
      <c r="E126" s="151">
        <v>4</v>
      </c>
      <c r="F126" s="142">
        <f>+H113</f>
        <v>45.64</v>
      </c>
      <c r="G126" s="151">
        <v>1</v>
      </c>
      <c r="H126" s="142">
        <f t="shared" si="302"/>
        <v>44.89</v>
      </c>
      <c r="I126" s="142">
        <f t="shared" si="302"/>
        <v>75</v>
      </c>
      <c r="J126" s="143">
        <f>+(F126-H126)/I126</f>
        <v>0.01</v>
      </c>
      <c r="K126" s="142">
        <f t="shared" si="303"/>
        <v>1460</v>
      </c>
      <c r="L126" s="128">
        <f t="shared" si="289"/>
        <v>16.808499999999999</v>
      </c>
      <c r="M126" s="144">
        <f t="shared" si="290"/>
        <v>1.6808499999999997E-2</v>
      </c>
      <c r="N126" s="144">
        <f t="shared" si="176"/>
        <v>0.14106837114124132</v>
      </c>
      <c r="O126" s="144">
        <f t="shared" si="177"/>
        <v>5.5538728795764305</v>
      </c>
      <c r="P126" s="145">
        <f t="shared" si="182"/>
        <v>6</v>
      </c>
      <c r="Q126" s="113">
        <f>IF(O126&gt;0,VLOOKUP(P126,'$ alcantarillado'!$I$5:$L$22,4,FALSE),"0")</f>
        <v>0.14499999999999999</v>
      </c>
      <c r="R126" s="113">
        <f t="shared" si="178"/>
        <v>1.8086917588934607E-2</v>
      </c>
      <c r="S126" s="146">
        <f t="shared" si="179"/>
        <v>0.92931810615885524</v>
      </c>
      <c r="T126" s="145">
        <f>+IF(S126&gt;$B$13,VLOOKUP(P126,'$ alcantarillado'!$I$6:$N$22,5),P126)</f>
        <v>8</v>
      </c>
      <c r="U126" s="113">
        <f>IF(O126&gt;0,VLOOKUP(T126,'$ alcantarillado'!$I$5:$L$22,4),"0")</f>
        <v>0.182</v>
      </c>
      <c r="V126" s="113">
        <f t="shared" si="180"/>
        <v>3.3156874727015569E-2</v>
      </c>
      <c r="W126" s="146">
        <f t="shared" si="273"/>
        <v>0.50693861042050392</v>
      </c>
      <c r="X126" s="146">
        <f t="shared" si="291"/>
        <v>1.2745032025801872</v>
      </c>
      <c r="Y126" s="113">
        <f>IF(T126&gt;0,(VLOOKUP($W126,Relaciones!$A$4:$D$108,2)),"")</f>
        <v>0.85</v>
      </c>
      <c r="Z126" s="146">
        <f t="shared" si="292"/>
        <v>1.0833277221931592</v>
      </c>
      <c r="AA126" s="146">
        <f t="shared" si="293"/>
        <v>0.45500000000000002</v>
      </c>
      <c r="AB126" s="147" t="str">
        <f t="shared" si="294"/>
        <v>OK</v>
      </c>
      <c r="AC126" s="147" t="str">
        <f t="shared" si="295"/>
        <v>OK</v>
      </c>
      <c r="AD126" s="147" t="str">
        <f t="shared" si="296"/>
        <v>OK</v>
      </c>
      <c r="AE126" s="148">
        <f t="shared" si="297"/>
        <v>1</v>
      </c>
      <c r="AF126" s="148">
        <f t="shared" si="297"/>
        <v>1</v>
      </c>
      <c r="AG126" s="148">
        <f t="shared" si="297"/>
        <v>1</v>
      </c>
      <c r="AH126" s="148">
        <f t="shared" si="298"/>
        <v>3</v>
      </c>
      <c r="AI126" s="147">
        <f t="shared" si="299"/>
        <v>0.68199999999999994</v>
      </c>
      <c r="AJ126" s="149">
        <f>IF(AI126&gt;0,I126*VLOOKUP(T126,'$ alcantarillado'!$I$6:$K$22,3),0)</f>
        <v>2488675</v>
      </c>
      <c r="AK126" s="149">
        <f t="shared" si="286"/>
        <v>4900886.1000000034</v>
      </c>
      <c r="AL126" s="149">
        <f t="shared" si="287"/>
        <v>2535066.9920000019</v>
      </c>
      <c r="AM126" s="149">
        <f t="shared" si="300"/>
        <v>9924628.0920000058</v>
      </c>
      <c r="AN126" s="164">
        <f>+AP113</f>
        <v>38688115.45600003</v>
      </c>
      <c r="AO126" s="150">
        <f t="shared" si="301"/>
        <v>48612743.548000038</v>
      </c>
      <c r="AP126" s="219"/>
      <c r="AQ126" s="142"/>
      <c r="AR126" s="165"/>
    </row>
    <row r="127" spans="1:44" ht="15.75" thickBot="1" x14ac:dyDescent="0.3">
      <c r="A127" s="230"/>
      <c r="B127" s="230"/>
      <c r="C127" s="230"/>
      <c r="D127" s="230"/>
      <c r="E127" s="152">
        <v>5</v>
      </c>
      <c r="F127" s="153">
        <f>+H118</f>
        <v>45.515000000000001</v>
      </c>
      <c r="G127" s="152">
        <v>1</v>
      </c>
      <c r="H127" s="154">
        <f>+H126</f>
        <v>44.89</v>
      </c>
      <c r="I127" s="154">
        <f>+I126</f>
        <v>75</v>
      </c>
      <c r="J127" s="155">
        <f t="shared" si="288"/>
        <v>8.3333333333333332E-3</v>
      </c>
      <c r="K127" s="154">
        <f>+K126</f>
        <v>1460</v>
      </c>
      <c r="L127" s="153">
        <f t="shared" si="289"/>
        <v>16.808499999999999</v>
      </c>
      <c r="M127" s="156">
        <f t="shared" si="290"/>
        <v>1.6808499999999997E-2</v>
      </c>
      <c r="N127" s="156">
        <f t="shared" si="176"/>
        <v>0.1459742106118892</v>
      </c>
      <c r="O127" s="156">
        <f t="shared" si="177"/>
        <v>5.7470161658224095</v>
      </c>
      <c r="P127" s="157">
        <f t="shared" si="182"/>
        <v>6</v>
      </c>
      <c r="Q127" s="113">
        <f>IF(O127&gt;0,VLOOKUP(P127,'$ alcantarillado'!$I$5:$L$22,4,FALSE),"0")</f>
        <v>0.14499999999999999</v>
      </c>
      <c r="R127" s="113">
        <f t="shared" si="178"/>
        <v>1.6511021265327393E-2</v>
      </c>
      <c r="S127" s="146">
        <f t="shared" si="179"/>
        <v>1.0180169796823713</v>
      </c>
      <c r="T127" s="145">
        <f>+IF(S127&gt;$B$13,VLOOKUP(P127,'$ alcantarillado'!$I$6:$N$22,5),P127)</f>
        <v>8</v>
      </c>
      <c r="U127" s="113">
        <f>IF(O127&gt;0,VLOOKUP(T127,'$ alcantarillado'!$I$5:$L$22,4),"0")</f>
        <v>0.182</v>
      </c>
      <c r="V127" s="113">
        <f t="shared" si="180"/>
        <v>3.0267947040598951E-2</v>
      </c>
      <c r="W127" s="146">
        <f t="shared" si="273"/>
        <v>0.55532342439526694</v>
      </c>
      <c r="X127" s="146">
        <f t="shared" si="291"/>
        <v>1.1634569227762415</v>
      </c>
      <c r="Y127" s="113">
        <f>IF(T127&gt;0,(VLOOKUP($W127,Relaciones!$A$4:$D$108,2)),"")</f>
        <v>0.875</v>
      </c>
      <c r="Z127" s="146">
        <f t="shared" si="292"/>
        <v>1.0180248074292113</v>
      </c>
      <c r="AA127" s="146">
        <f t="shared" si="293"/>
        <v>0.37916666666666665</v>
      </c>
      <c r="AB127" s="147" t="str">
        <f t="shared" si="294"/>
        <v>OK</v>
      </c>
      <c r="AC127" s="147" t="str">
        <f t="shared" si="295"/>
        <v>OK</v>
      </c>
      <c r="AD127" s="147" t="str">
        <f t="shared" si="296"/>
        <v>OK</v>
      </c>
      <c r="AE127" s="148">
        <f t="shared" si="297"/>
        <v>1</v>
      </c>
      <c r="AF127" s="148">
        <f t="shared" si="297"/>
        <v>1</v>
      </c>
      <c r="AG127" s="148">
        <f t="shared" si="297"/>
        <v>1</v>
      </c>
      <c r="AH127" s="148">
        <f t="shared" si="298"/>
        <v>3</v>
      </c>
      <c r="AI127" s="147">
        <f t="shared" si="299"/>
        <v>0.68199999999999994</v>
      </c>
      <c r="AJ127" s="158">
        <f>IF(AI127&gt;0,I127*VLOOKUP(T127,'$ alcantarillado'!$I$6:$K$22,3),0)</f>
        <v>2488675</v>
      </c>
      <c r="AK127" s="149">
        <f t="shared" si="286"/>
        <v>5015973.6000000034</v>
      </c>
      <c r="AL127" s="149">
        <f t="shared" si="287"/>
        <v>2622314.6170000019</v>
      </c>
      <c r="AM127" s="158">
        <f t="shared" si="300"/>
        <v>10126963.217000006</v>
      </c>
      <c r="AN127" s="164">
        <f>+AP118</f>
        <v>38746165.45600003</v>
      </c>
      <c r="AO127" s="159">
        <f t="shared" si="301"/>
        <v>48873128.673000038</v>
      </c>
      <c r="AP127" s="220"/>
      <c r="AQ127" s="154"/>
      <c r="AR127" s="166"/>
    </row>
    <row r="128" spans="1:44" x14ac:dyDescent="0.25">
      <c r="A128" s="230"/>
      <c r="B128" s="230"/>
      <c r="C128" s="230"/>
      <c r="D128" s="230"/>
      <c r="E128" s="127">
        <v>1</v>
      </c>
      <c r="F128" s="129">
        <f>+H98</f>
        <v>46.015000000000001</v>
      </c>
      <c r="G128" s="127">
        <v>2</v>
      </c>
      <c r="H128" s="146">
        <f>+H133+$B$15</f>
        <v>44.765000000000001</v>
      </c>
      <c r="I128" s="142">
        <f>+I127</f>
        <v>75</v>
      </c>
      <c r="J128" s="143">
        <f>+(F128-H128)/I128</f>
        <v>1.6666666666666666E-2</v>
      </c>
      <c r="K128" s="142">
        <f>+K127</f>
        <v>1460</v>
      </c>
      <c r="L128" s="132">
        <f>IF(K128&lt;38,K128^0.3686*0.7401,IF(K128&lt;235,K128^0.4193*0.6215,IF(K128&lt;932,K128*0.0092+4.2493,K128*0.0069+6.7345)))</f>
        <v>16.808499999999999</v>
      </c>
      <c r="M128" s="133">
        <f>+L128/1000</f>
        <v>1.6808499999999997E-2</v>
      </c>
      <c r="N128" s="133">
        <f t="shared" si="176"/>
        <v>0.12818376137295873</v>
      </c>
      <c r="O128" s="133">
        <f t="shared" si="177"/>
        <v>5.0466047784629424</v>
      </c>
      <c r="P128" s="134">
        <f t="shared" si="182"/>
        <v>6</v>
      </c>
      <c r="Q128" s="135">
        <f>IF(O128&gt;0,VLOOKUP(P128,'$ alcantarillado'!$I$5:$L$22,4,FALSE),"0")</f>
        <v>0.14499999999999999</v>
      </c>
      <c r="R128" s="135">
        <f t="shared" si="178"/>
        <v>2.335011020205658E-2</v>
      </c>
      <c r="S128" s="136">
        <f t="shared" si="179"/>
        <v>0.71984670969645248</v>
      </c>
      <c r="T128" s="134">
        <f>+IF(S128&gt;$B$13,VLOOKUP(P128,'$ alcantarillado'!$I$6:$N$22,5),P128)</f>
        <v>6</v>
      </c>
      <c r="U128" s="135">
        <f>IF(O128&gt;0,VLOOKUP(T128,'$ alcantarillado'!$I$5:$L$22,4),"0")</f>
        <v>0.14499999999999999</v>
      </c>
      <c r="V128" s="135">
        <f t="shared" si="180"/>
        <v>2.335011020205658E-2</v>
      </c>
      <c r="W128" s="136">
        <f t="shared" si="273"/>
        <v>0.71984670969645248</v>
      </c>
      <c r="X128" s="136">
        <f>IF(T128&gt;0,4*V128/(PI()*(U128)^2),"")</f>
        <v>1.4140444082369752</v>
      </c>
      <c r="Y128" s="135">
        <f>IF(T128&gt;0,(VLOOKUP($W128,Relaciones!$A$4:$D$108,2)),"")</f>
        <v>0.95099999999999996</v>
      </c>
      <c r="Z128" s="136">
        <f>IF(T128&gt;0,Y128*X128,"")</f>
        <v>1.3447562322333633</v>
      </c>
      <c r="AA128" s="136">
        <f>IF(T128&gt;0,250*U128*J128,"")</f>
        <v>0.60416666666666663</v>
      </c>
      <c r="AB128" s="137" t="str">
        <f>IF(T128&gt;0,IF(W128&lt;=$B$13,"OK","No Cumple"),"")</f>
        <v>OK</v>
      </c>
      <c r="AC128" s="137" t="str">
        <f>IF(T128&gt;0,IF(Z128&gt;=$B$12,"OK","No Cumple"),"")</f>
        <v>OK</v>
      </c>
      <c r="AD128" s="137" t="str">
        <f>IF(T128&gt;0,IF(AA128&gt;$B$14,"OK","No Cumple"),"")</f>
        <v>OK</v>
      </c>
      <c r="AE128" s="138">
        <f>+IF(AB128="OK",1,0)</f>
        <v>1</v>
      </c>
      <c r="AF128" s="138">
        <f>+IF(AC128="OK",1,0)</f>
        <v>1</v>
      </c>
      <c r="AG128" s="138">
        <f>+IF(AD128="OK",1,0)</f>
        <v>1</v>
      </c>
      <c r="AH128" s="138">
        <f>SUM(AE128:AG128)</f>
        <v>3</v>
      </c>
      <c r="AI128" s="137">
        <f>IF(AH128=3,2*$B$7+U128,0)</f>
        <v>0.64500000000000002</v>
      </c>
      <c r="AJ128" s="139">
        <f>IF(AI128&gt;0,I128*VLOOKUP(T128,'$ alcantarillado'!$I$6:$K$22,3),0)</f>
        <v>1792662.5</v>
      </c>
      <c r="AK128" s="139">
        <f t="shared" si="286"/>
        <v>4314566.2500000037</v>
      </c>
      <c r="AL128" s="139">
        <f t="shared" si="287"/>
        <v>2247498.8200000022</v>
      </c>
      <c r="AM128" s="139">
        <f>IF(AJ128&gt;0,AJ128+AK128+AL128,0)</f>
        <v>8354727.5700000059</v>
      </c>
      <c r="AN128" s="162">
        <f>IF(AP98&gt;0,+AP98,0)</f>
        <v>39560751.926333368</v>
      </c>
      <c r="AO128" s="140">
        <f>IF((AM128)&gt;0,IF(AN128&gt;0,AM128+AN128,""),"")</f>
        <v>47915479.496333376</v>
      </c>
      <c r="AP128" s="225">
        <f>+MIN(AO128:AO132)</f>
        <v>47376975.776000038</v>
      </c>
      <c r="AQ128" s="142"/>
      <c r="AR128" s="165"/>
    </row>
    <row r="129" spans="1:44" x14ac:dyDescent="0.25">
      <c r="A129" s="230"/>
      <c r="B129" s="230"/>
      <c r="C129" s="230"/>
      <c r="D129" s="230"/>
      <c r="E129" s="141">
        <v>2</v>
      </c>
      <c r="F129" s="142">
        <f>+H103</f>
        <v>45.89</v>
      </c>
      <c r="G129" s="141">
        <v>2</v>
      </c>
      <c r="H129" s="146">
        <f>+H128</f>
        <v>44.765000000000001</v>
      </c>
      <c r="I129" s="142">
        <f>+I128</f>
        <v>75</v>
      </c>
      <c r="J129" s="143">
        <f t="shared" si="288"/>
        <v>1.4999999999999999E-2</v>
      </c>
      <c r="K129" s="142">
        <f>+K128</f>
        <v>1460</v>
      </c>
      <c r="L129" s="128">
        <f t="shared" si="289"/>
        <v>16.808499999999999</v>
      </c>
      <c r="M129" s="144">
        <f t="shared" ref="M129:M132" si="304">+L129/1000</f>
        <v>1.6808499999999997E-2</v>
      </c>
      <c r="N129" s="144">
        <f t="shared" si="176"/>
        <v>0.13074122224264353</v>
      </c>
      <c r="O129" s="144">
        <f t="shared" si="177"/>
        <v>5.1472922142773045</v>
      </c>
      <c r="P129" s="145">
        <f t="shared" si="182"/>
        <v>6</v>
      </c>
      <c r="Q129" s="113">
        <f>IF(O129&gt;0,VLOOKUP(P129,'$ alcantarillado'!$I$5:$L$22,4,FALSE),"0")</f>
        <v>0.14499999999999999</v>
      </c>
      <c r="R129" s="113">
        <f t="shared" si="178"/>
        <v>2.2151859556329985E-2</v>
      </c>
      <c r="S129" s="146">
        <f t="shared" si="179"/>
        <v>0.7587850562729348</v>
      </c>
      <c r="T129" s="145">
        <f>+IF(S129&gt;$B$13,VLOOKUP(P129,'$ alcantarillado'!$I$6:$N$22,5),P129)</f>
        <v>6</v>
      </c>
      <c r="U129" s="113">
        <f>IF(O129&gt;0,VLOOKUP(T129,'$ alcantarillado'!$I$5:$L$22,4),"0")</f>
        <v>0.14499999999999999</v>
      </c>
      <c r="V129" s="113">
        <f t="shared" si="180"/>
        <v>2.2151859556329985E-2</v>
      </c>
      <c r="W129" s="146">
        <f t="shared" si="273"/>
        <v>0.7587850562729348</v>
      </c>
      <c r="X129" s="146">
        <f t="shared" ref="X129:X132" si="305">IF(T129&gt;0,4*V129/(PI()*(U129)^2),"")</f>
        <v>1.3414803127961406</v>
      </c>
      <c r="Y129" s="113">
        <f>IF(T129&gt;0,(VLOOKUP($W129,Relaciones!$A$4:$D$108,2)),"")</f>
        <v>0.96499999999999997</v>
      </c>
      <c r="Z129" s="146">
        <f t="shared" ref="Z129:Z132" si="306">IF(T129&gt;0,Y129*X129,"")</f>
        <v>1.2945285018482755</v>
      </c>
      <c r="AA129" s="146">
        <f t="shared" ref="AA129:AA132" si="307">IF(T129&gt;0,250*U129*J129,"")</f>
        <v>0.54374999999999996</v>
      </c>
      <c r="AB129" s="147" t="str">
        <f t="shared" ref="AB129:AB132" si="308">IF(T129&gt;0,IF(W129&lt;=$B$13,"OK","No Cumple"),"")</f>
        <v>OK</v>
      </c>
      <c r="AC129" s="147" t="str">
        <f t="shared" ref="AC129:AC132" si="309">IF(T129&gt;0,IF(Z129&gt;=$B$12,"OK","No Cumple"),"")</f>
        <v>OK</v>
      </c>
      <c r="AD129" s="147" t="str">
        <f t="shared" ref="AD129:AD132" si="310">IF(T129&gt;0,IF(AA129&gt;$B$14,"OK","No Cumple"),"")</f>
        <v>OK</v>
      </c>
      <c r="AE129" s="148">
        <f t="shared" ref="AE129:AG132" si="311">+IF(AB129="OK",1,0)</f>
        <v>1</v>
      </c>
      <c r="AF129" s="148">
        <f t="shared" si="311"/>
        <v>1</v>
      </c>
      <c r="AG129" s="148">
        <f t="shared" si="311"/>
        <v>1</v>
      </c>
      <c r="AH129" s="148">
        <f t="shared" ref="AH129:AH132" si="312">SUM(AE129:AG129)</f>
        <v>3</v>
      </c>
      <c r="AI129" s="147">
        <f t="shared" ref="AI129:AI132" si="313">IF(AH129=3,2*$B$7+U129,0)</f>
        <v>0.64500000000000002</v>
      </c>
      <c r="AJ129" s="149">
        <f>IF(AI129&gt;0,I129*VLOOKUP(T129,'$ alcantarillado'!$I$6:$K$22,3),0)</f>
        <v>1792662.5</v>
      </c>
      <c r="AK129" s="149">
        <f t="shared" si="286"/>
        <v>4423410.0000000037</v>
      </c>
      <c r="AL129" s="149">
        <f t="shared" si="287"/>
        <v>2334746.4450000022</v>
      </c>
      <c r="AM129" s="149">
        <f t="shared" si="300"/>
        <v>8550818.9450000059</v>
      </c>
      <c r="AN129" s="164">
        <f>+AP103</f>
        <v>39622131.926333368</v>
      </c>
      <c r="AO129" s="150">
        <f t="shared" ref="AO129:AO132" si="314">IF((AM129)&gt;0,IF(AN129&gt;0,AM129+AN129,""),"")</f>
        <v>48172950.871333376</v>
      </c>
      <c r="AP129" s="226"/>
      <c r="AQ129" s="142">
        <v>3</v>
      </c>
      <c r="AR129" s="165">
        <v>2</v>
      </c>
    </row>
    <row r="130" spans="1:44" x14ac:dyDescent="0.25">
      <c r="A130" s="230"/>
      <c r="B130" s="230"/>
      <c r="C130" s="230"/>
      <c r="D130" s="230"/>
      <c r="E130" s="151">
        <v>3</v>
      </c>
      <c r="F130" s="142">
        <f>+H108</f>
        <v>45.765000000000001</v>
      </c>
      <c r="G130" s="151">
        <v>2</v>
      </c>
      <c r="H130" s="146">
        <f t="shared" ref="H130:I131" si="315">+H129</f>
        <v>44.765000000000001</v>
      </c>
      <c r="I130" s="142">
        <f t="shared" si="315"/>
        <v>75</v>
      </c>
      <c r="J130" s="143">
        <f t="shared" si="288"/>
        <v>1.3333333333333334E-2</v>
      </c>
      <c r="K130" s="142">
        <f t="shared" ref="K130:K131" si="316">+K129</f>
        <v>1460</v>
      </c>
      <c r="L130" s="128">
        <f t="shared" si="289"/>
        <v>16.808499999999999</v>
      </c>
      <c r="M130" s="144">
        <f t="shared" si="304"/>
        <v>1.6808499999999997E-2</v>
      </c>
      <c r="N130" s="144">
        <f t="shared" si="176"/>
        <v>0.13366067149544208</v>
      </c>
      <c r="O130" s="144">
        <f t="shared" si="177"/>
        <v>5.2622311612378772</v>
      </c>
      <c r="P130" s="145">
        <f t="shared" si="182"/>
        <v>6</v>
      </c>
      <c r="Q130" s="113">
        <f>IF(O130&gt;0,VLOOKUP(P130,'$ alcantarillado'!$I$5:$L$22,4,FALSE),"0")</f>
        <v>0.14499999999999999</v>
      </c>
      <c r="R130" s="113">
        <f t="shared" si="178"/>
        <v>2.0884973477563944E-2</v>
      </c>
      <c r="S130" s="146">
        <f t="shared" si="179"/>
        <v>0.80481308813041241</v>
      </c>
      <c r="T130" s="145">
        <f>+IF(S130&gt;$B$13,VLOOKUP(P130,'$ alcantarillado'!$I$6:$N$22,5),P130)</f>
        <v>6</v>
      </c>
      <c r="U130" s="113">
        <f>IF(O130&gt;0,VLOOKUP(T130,'$ alcantarillado'!$I$5:$L$22,4),"0")</f>
        <v>0.14499999999999999</v>
      </c>
      <c r="V130" s="113">
        <f t="shared" si="180"/>
        <v>2.0884973477563944E-2</v>
      </c>
      <c r="W130" s="146">
        <f t="shared" si="273"/>
        <v>0.80481308813041241</v>
      </c>
      <c r="X130" s="146">
        <f t="shared" si="305"/>
        <v>1.2647597680085358</v>
      </c>
      <c r="Y130" s="113">
        <f>IF(T130&gt;0,(VLOOKUP($W130,Relaciones!$A$4:$D$108,2)),"")</f>
        <v>0.98399999999999999</v>
      </c>
      <c r="Z130" s="146">
        <f t="shared" si="306"/>
        <v>1.2445236117203993</v>
      </c>
      <c r="AA130" s="146">
        <f t="shared" si="307"/>
        <v>0.48333333333333334</v>
      </c>
      <c r="AB130" s="147" t="str">
        <f t="shared" si="308"/>
        <v>OK</v>
      </c>
      <c r="AC130" s="147" t="str">
        <f t="shared" si="309"/>
        <v>OK</v>
      </c>
      <c r="AD130" s="147" t="str">
        <f t="shared" si="310"/>
        <v>OK</v>
      </c>
      <c r="AE130" s="148">
        <f t="shared" si="311"/>
        <v>1</v>
      </c>
      <c r="AF130" s="148">
        <f t="shared" si="311"/>
        <v>1</v>
      </c>
      <c r="AG130" s="148">
        <f t="shared" si="311"/>
        <v>1</v>
      </c>
      <c r="AH130" s="148">
        <f t="shared" si="312"/>
        <v>3</v>
      </c>
      <c r="AI130" s="147">
        <f t="shared" si="313"/>
        <v>0.64500000000000002</v>
      </c>
      <c r="AJ130" s="149">
        <f>IF(AI130&gt;0,I130*VLOOKUP(T130,'$ alcantarillado'!$I$6:$K$22,3),0)</f>
        <v>1792662.5</v>
      </c>
      <c r="AK130" s="149">
        <f t="shared" si="286"/>
        <v>4532253.7500000037</v>
      </c>
      <c r="AL130" s="149">
        <f t="shared" si="287"/>
        <v>2421994.0700000022</v>
      </c>
      <c r="AM130" s="149">
        <f t="shared" si="300"/>
        <v>8746910.3200000059</v>
      </c>
      <c r="AN130" s="164">
        <f>+AP108</f>
        <v>38630065.45600003</v>
      </c>
      <c r="AO130" s="161">
        <f t="shared" si="314"/>
        <v>47376975.776000038</v>
      </c>
      <c r="AP130" s="227"/>
      <c r="AQ130" s="142"/>
      <c r="AR130" s="165"/>
    </row>
    <row r="131" spans="1:44" x14ac:dyDescent="0.25">
      <c r="A131" s="230"/>
      <c r="B131" s="230"/>
      <c r="C131" s="230"/>
      <c r="D131" s="230"/>
      <c r="E131" s="151">
        <v>4</v>
      </c>
      <c r="F131" s="142">
        <f>+H113</f>
        <v>45.64</v>
      </c>
      <c r="G131" s="151">
        <v>2</v>
      </c>
      <c r="H131" s="146">
        <f t="shared" si="315"/>
        <v>44.765000000000001</v>
      </c>
      <c r="I131" s="142">
        <f t="shared" si="315"/>
        <v>75</v>
      </c>
      <c r="J131" s="143">
        <f>+(F131-H131)/I131</f>
        <v>1.1666666666666667E-2</v>
      </c>
      <c r="K131" s="142">
        <f t="shared" si="316"/>
        <v>1460</v>
      </c>
      <c r="L131" s="128">
        <f t="shared" si="289"/>
        <v>16.808499999999999</v>
      </c>
      <c r="M131" s="144">
        <f t="shared" si="304"/>
        <v>1.6808499999999997E-2</v>
      </c>
      <c r="N131" s="144">
        <f t="shared" si="176"/>
        <v>0.13704939689167578</v>
      </c>
      <c r="O131" s="144">
        <f t="shared" si="177"/>
        <v>5.3956455469163691</v>
      </c>
      <c r="P131" s="145">
        <f t="shared" si="182"/>
        <v>6</v>
      </c>
      <c r="Q131" s="113">
        <f>IF(O131&gt;0,VLOOKUP(P131,'$ alcantarillado'!$I$5:$L$22,4,FALSE),"0")</f>
        <v>0.14499999999999999</v>
      </c>
      <c r="R131" s="113">
        <f t="shared" si="178"/>
        <v>1.9536103821226249E-2</v>
      </c>
      <c r="S131" s="146">
        <f t="shared" si="179"/>
        <v>0.8603813817644298</v>
      </c>
      <c r="T131" s="145">
        <f>+IF(S131&gt;$B$13,VLOOKUP(P131,'$ alcantarillado'!$I$6:$N$22,5),P131)</f>
        <v>8</v>
      </c>
      <c r="U131" s="113">
        <f>IF(O131&gt;0,VLOOKUP(T131,'$ alcantarillado'!$I$5:$L$22,4),"0")</f>
        <v>0.182</v>
      </c>
      <c r="V131" s="113">
        <f t="shared" si="180"/>
        <v>3.5813517912563465E-2</v>
      </c>
      <c r="W131" s="146">
        <f t="shared" si="273"/>
        <v>0.46933395487806956</v>
      </c>
      <c r="X131" s="146">
        <f t="shared" si="305"/>
        <v>1.3766207958687628</v>
      </c>
      <c r="Y131" s="113">
        <f>IF(T131&gt;0,(VLOOKUP($W131,Relaciones!$A$4:$D$108,2)),"")</f>
        <v>0.83</v>
      </c>
      <c r="Z131" s="146">
        <f t="shared" si="306"/>
        <v>1.1425952605710732</v>
      </c>
      <c r="AA131" s="146">
        <f t="shared" si="307"/>
        <v>0.53083333333333338</v>
      </c>
      <c r="AB131" s="147" t="str">
        <f t="shared" si="308"/>
        <v>OK</v>
      </c>
      <c r="AC131" s="147" t="str">
        <f t="shared" si="309"/>
        <v>OK</v>
      </c>
      <c r="AD131" s="147" t="str">
        <f t="shared" si="310"/>
        <v>OK</v>
      </c>
      <c r="AE131" s="148">
        <f t="shared" si="311"/>
        <v>1</v>
      </c>
      <c r="AF131" s="148">
        <f t="shared" si="311"/>
        <v>1</v>
      </c>
      <c r="AG131" s="148">
        <f t="shared" si="311"/>
        <v>1</v>
      </c>
      <c r="AH131" s="148">
        <f t="shared" si="312"/>
        <v>3</v>
      </c>
      <c r="AI131" s="147">
        <f t="shared" si="313"/>
        <v>0.68199999999999994</v>
      </c>
      <c r="AJ131" s="149">
        <f>IF(AI131&gt;0,I131*VLOOKUP(T131,'$ alcantarillado'!$I$6:$K$22,3),0)</f>
        <v>2488675</v>
      </c>
      <c r="AK131" s="149">
        <f t="shared" si="286"/>
        <v>4958429.8500000034</v>
      </c>
      <c r="AL131" s="149">
        <f t="shared" si="287"/>
        <v>2535066.9920000019</v>
      </c>
      <c r="AM131" s="149">
        <f t="shared" si="300"/>
        <v>9982171.8420000058</v>
      </c>
      <c r="AN131" s="164">
        <f>+AP113</f>
        <v>38688115.45600003</v>
      </c>
      <c r="AO131" s="150">
        <f t="shared" si="314"/>
        <v>48670287.298000038</v>
      </c>
      <c r="AP131" s="227"/>
      <c r="AQ131" s="142"/>
      <c r="AR131" s="165"/>
    </row>
    <row r="132" spans="1:44" ht="15.75" thickBot="1" x14ac:dyDescent="0.3">
      <c r="A132" s="230"/>
      <c r="B132" s="230"/>
      <c r="C132" s="230"/>
      <c r="D132" s="230"/>
      <c r="E132" s="152">
        <v>5</v>
      </c>
      <c r="F132" s="153">
        <f>+H118</f>
        <v>45.515000000000001</v>
      </c>
      <c r="G132" s="152">
        <v>2</v>
      </c>
      <c r="H132" s="169">
        <f>+H131</f>
        <v>44.765000000000001</v>
      </c>
      <c r="I132" s="154">
        <f>+I131</f>
        <v>75</v>
      </c>
      <c r="J132" s="155">
        <f t="shared" si="288"/>
        <v>0.01</v>
      </c>
      <c r="K132" s="154">
        <f>+K131</f>
        <v>1460</v>
      </c>
      <c r="L132" s="153">
        <f t="shared" si="289"/>
        <v>16.808499999999999</v>
      </c>
      <c r="M132" s="156">
        <f t="shared" si="304"/>
        <v>1.6808499999999997E-2</v>
      </c>
      <c r="N132" s="156">
        <f t="shared" si="176"/>
        <v>0.14106837114124132</v>
      </c>
      <c r="O132" s="156">
        <f t="shared" si="177"/>
        <v>5.5538728795764305</v>
      </c>
      <c r="P132" s="157">
        <f t="shared" si="182"/>
        <v>6</v>
      </c>
      <c r="Q132" s="113">
        <f>IF(O132&gt;0,VLOOKUP(P132,'$ alcantarillado'!$I$5:$L$22,4,FALSE),"0")</f>
        <v>0.14499999999999999</v>
      </c>
      <c r="R132" s="160">
        <f t="shared" si="178"/>
        <v>1.8086917588934607E-2</v>
      </c>
      <c r="S132" s="146">
        <f t="shared" si="179"/>
        <v>0.92931810615885524</v>
      </c>
      <c r="T132" s="145">
        <f>+IF(S132&gt;$B$13,VLOOKUP(P132,'$ alcantarillado'!$I$6:$N$22,5),P132)</f>
        <v>8</v>
      </c>
      <c r="U132" s="113">
        <f>IF(O132&gt;0,VLOOKUP(T132,'$ alcantarillado'!$I$5:$L$22,4),"0")</f>
        <v>0.182</v>
      </c>
      <c r="V132" s="113">
        <f t="shared" si="180"/>
        <v>3.3156874727015569E-2</v>
      </c>
      <c r="W132" s="146">
        <f t="shared" si="273"/>
        <v>0.50693861042050392</v>
      </c>
      <c r="X132" s="146">
        <f t="shared" si="305"/>
        <v>1.2745032025801872</v>
      </c>
      <c r="Y132" s="113">
        <f>IF(T132&gt;0,(VLOOKUP($W132,Relaciones!$A$4:$D$108,2)),"")</f>
        <v>0.85</v>
      </c>
      <c r="Z132" s="146">
        <f t="shared" si="306"/>
        <v>1.0833277221931592</v>
      </c>
      <c r="AA132" s="146">
        <f t="shared" si="307"/>
        <v>0.45500000000000002</v>
      </c>
      <c r="AB132" s="147" t="str">
        <f t="shared" si="308"/>
        <v>OK</v>
      </c>
      <c r="AC132" s="147" t="str">
        <f t="shared" si="309"/>
        <v>OK</v>
      </c>
      <c r="AD132" s="147" t="str">
        <f t="shared" si="310"/>
        <v>OK</v>
      </c>
      <c r="AE132" s="148">
        <f t="shared" si="311"/>
        <v>1</v>
      </c>
      <c r="AF132" s="148">
        <f t="shared" si="311"/>
        <v>1</v>
      </c>
      <c r="AG132" s="148">
        <f t="shared" si="311"/>
        <v>1</v>
      </c>
      <c r="AH132" s="148">
        <f t="shared" si="312"/>
        <v>3</v>
      </c>
      <c r="AI132" s="147">
        <f t="shared" si="313"/>
        <v>0.68199999999999994</v>
      </c>
      <c r="AJ132" s="158">
        <f>IF(AI132&gt;0,I132*VLOOKUP(T132,'$ alcantarillado'!$I$6:$K$22,3),0)</f>
        <v>2488675</v>
      </c>
      <c r="AK132" s="149">
        <f t="shared" si="286"/>
        <v>5073517.3500000034</v>
      </c>
      <c r="AL132" s="149">
        <f t="shared" si="287"/>
        <v>2622314.6170000019</v>
      </c>
      <c r="AM132" s="158">
        <f t="shared" si="300"/>
        <v>10184506.967000006</v>
      </c>
      <c r="AN132" s="167">
        <f>+AP118</f>
        <v>38746165.45600003</v>
      </c>
      <c r="AO132" s="159">
        <f t="shared" si="314"/>
        <v>48930672.423000038</v>
      </c>
      <c r="AP132" s="228"/>
      <c r="AQ132" s="154"/>
      <c r="AR132" s="166"/>
    </row>
    <row r="133" spans="1:44" x14ac:dyDescent="0.25">
      <c r="A133" s="230"/>
      <c r="B133" s="230"/>
      <c r="C133" s="230"/>
      <c r="D133" s="230"/>
      <c r="E133" s="127">
        <v>1</v>
      </c>
      <c r="F133" s="129">
        <f>+H98</f>
        <v>46.015000000000001</v>
      </c>
      <c r="G133" s="127">
        <v>3</v>
      </c>
      <c r="H133" s="136">
        <f>+'LOGIKA AN-2'!H123</f>
        <v>44.64</v>
      </c>
      <c r="I133" s="129">
        <f t="shared" ref="I133" si="317">+I132</f>
        <v>75</v>
      </c>
      <c r="J133" s="143">
        <f>+(F133-H133)/I133</f>
        <v>1.8333333333333333E-2</v>
      </c>
      <c r="K133" s="129">
        <f t="shared" ref="K133" si="318">+K132</f>
        <v>1460</v>
      </c>
      <c r="L133" s="132">
        <f>IF(K133&lt;38,K133^0.3686*0.7401,IF(K133&lt;235,K133^0.4193*0.6215,IF(K133&lt;932,K133*0.0092+4.2493,K133*0.0069+6.7345)))</f>
        <v>16.808499999999999</v>
      </c>
      <c r="M133" s="133">
        <f>+L133/1000</f>
        <v>1.6808499999999997E-2</v>
      </c>
      <c r="N133" s="133">
        <f t="shared" si="176"/>
        <v>0.1259133801470671</v>
      </c>
      <c r="O133" s="133">
        <f t="shared" si="177"/>
        <v>4.9572196908294135</v>
      </c>
      <c r="P133" s="134">
        <f t="shared" si="182"/>
        <v>6</v>
      </c>
      <c r="Q133" s="135">
        <f>IF(O133&gt;0,VLOOKUP(P133,'$ alcantarillado'!$I$5:$L$22,4,FALSE),"0")</f>
        <v>0.14499999999999999</v>
      </c>
      <c r="R133" s="135">
        <f t="shared" si="178"/>
        <v>2.4489802185665068E-2</v>
      </c>
      <c r="S133" s="136">
        <f t="shared" si="179"/>
        <v>0.68634690768709983</v>
      </c>
      <c r="T133" s="134">
        <f>+IF(S133&gt;$B$13,VLOOKUP(P133,'$ alcantarillado'!$I$6:$N$22,5),P133)</f>
        <v>6</v>
      </c>
      <c r="U133" s="135">
        <f>IF(O133&gt;0,VLOOKUP(T133,'$ alcantarillado'!$I$5:$L$22,4),"0")</f>
        <v>0.14499999999999999</v>
      </c>
      <c r="V133" s="135">
        <f t="shared" si="180"/>
        <v>2.4489802185665068E-2</v>
      </c>
      <c r="W133" s="136">
        <f t="shared" si="273"/>
        <v>0.68634690768709983</v>
      </c>
      <c r="X133" s="136">
        <f>IF(T133&gt;0,4*V133/(PI()*(U133)^2),"")</f>
        <v>1.4830622870644654</v>
      </c>
      <c r="Y133" s="135">
        <f>IF(T133&gt;0,(VLOOKUP($W133,Relaciones!$A$4:$D$108,2)),"")</f>
        <v>0.93600000000000005</v>
      </c>
      <c r="Z133" s="136">
        <f>IF(T133&gt;0,Y133*X133,"")</f>
        <v>1.3881463006923398</v>
      </c>
      <c r="AA133" s="136">
        <f>IF(T133&gt;0,250*U133*J133,"")</f>
        <v>0.6645833333333333</v>
      </c>
      <c r="AB133" s="137" t="str">
        <f>IF(T133&gt;0,IF(W133&lt;=$B$13,"OK","No Cumple"),"")</f>
        <v>OK</v>
      </c>
      <c r="AC133" s="137" t="str">
        <f>IF(T133&gt;0,IF(Z133&gt;=$B$12,"OK","No Cumple"),"")</f>
        <v>OK</v>
      </c>
      <c r="AD133" s="137" t="str">
        <f>IF(T133&gt;0,IF(AA133&gt;$B$14,"OK","No Cumple"),"")</f>
        <v>OK</v>
      </c>
      <c r="AE133" s="138">
        <f>+IF(AB133="OK",1,0)</f>
        <v>1</v>
      </c>
      <c r="AF133" s="138">
        <f>+IF(AC133="OK",1,0)</f>
        <v>1</v>
      </c>
      <c r="AG133" s="138">
        <f>+IF(AD133="OK",1,0)</f>
        <v>1</v>
      </c>
      <c r="AH133" s="138">
        <f>SUM(AE133:AG133)</f>
        <v>3</v>
      </c>
      <c r="AI133" s="137">
        <f>IF(AH133=3,2*$B$7+U133,0)</f>
        <v>0.64500000000000002</v>
      </c>
      <c r="AJ133" s="139">
        <f>IF(AI133&gt;0,I133*VLOOKUP(T133,'$ alcantarillado'!$I$6:$K$22,3),0)</f>
        <v>1792662.5</v>
      </c>
      <c r="AK133" s="139">
        <f t="shared" si="286"/>
        <v>4368988.1250000037</v>
      </c>
      <c r="AL133" s="139">
        <f t="shared" si="287"/>
        <v>2247498.8200000022</v>
      </c>
      <c r="AM133" s="139">
        <f>IF(AJ133&gt;0,AJ133+AK133+AL133,0)</f>
        <v>8409149.4450000059</v>
      </c>
      <c r="AN133" s="162">
        <f>IF(AP98&gt;0,+AP98,0)</f>
        <v>39560751.926333368</v>
      </c>
      <c r="AO133" s="140">
        <f>IF((AM133)&gt;0,IF(AN133&gt;0,AM133+AN133,""),"")</f>
        <v>47969901.371333376</v>
      </c>
      <c r="AP133" s="217">
        <f t="shared" ref="AP133" si="319">+MIN(AO133:AO137)</f>
        <v>47431397.651000038</v>
      </c>
      <c r="AQ133" s="129"/>
      <c r="AR133" s="163"/>
    </row>
    <row r="134" spans="1:44" x14ac:dyDescent="0.25">
      <c r="A134" s="230"/>
      <c r="B134" s="230"/>
      <c r="C134" s="230"/>
      <c r="D134" s="230"/>
      <c r="E134" s="141">
        <v>2</v>
      </c>
      <c r="F134" s="142">
        <f>+H103</f>
        <v>45.89</v>
      </c>
      <c r="G134" s="141">
        <v>3</v>
      </c>
      <c r="H134" s="142">
        <f>+H133</f>
        <v>44.64</v>
      </c>
      <c r="I134" s="142">
        <f>+I133</f>
        <v>75</v>
      </c>
      <c r="J134" s="143">
        <f t="shared" si="288"/>
        <v>1.6666666666666666E-2</v>
      </c>
      <c r="K134" s="142">
        <f>+K133</f>
        <v>1460</v>
      </c>
      <c r="L134" s="128">
        <f t="shared" si="289"/>
        <v>16.808499999999999</v>
      </c>
      <c r="M134" s="144">
        <f t="shared" ref="M134:M137" si="320">+L134/1000</f>
        <v>1.6808499999999997E-2</v>
      </c>
      <c r="N134" s="144">
        <f t="shared" si="176"/>
        <v>0.12818376137295873</v>
      </c>
      <c r="O134" s="144">
        <f t="shared" si="177"/>
        <v>5.0466047784629424</v>
      </c>
      <c r="P134" s="145">
        <f t="shared" si="182"/>
        <v>6</v>
      </c>
      <c r="Q134" s="113">
        <f>IF(O134&gt;0,VLOOKUP(P134,'$ alcantarillado'!$I$5:$L$22,4,FALSE),"0")</f>
        <v>0.14499999999999999</v>
      </c>
      <c r="R134" s="113">
        <f t="shared" si="178"/>
        <v>2.335011020205658E-2</v>
      </c>
      <c r="S134" s="146">
        <f t="shared" si="179"/>
        <v>0.71984670969645248</v>
      </c>
      <c r="T134" s="145">
        <f>+IF(S134&gt;$B$13,VLOOKUP(P134,'$ alcantarillado'!$I$6:$N$22,5),P134)</f>
        <v>6</v>
      </c>
      <c r="U134" s="113">
        <f>IF(O134&gt;0,VLOOKUP(T134,'$ alcantarillado'!$I$5:$L$22,4),"0")</f>
        <v>0.14499999999999999</v>
      </c>
      <c r="V134" s="113">
        <f t="shared" si="180"/>
        <v>2.335011020205658E-2</v>
      </c>
      <c r="W134" s="146">
        <f t="shared" si="273"/>
        <v>0.71984670969645248</v>
      </c>
      <c r="X134" s="146">
        <f t="shared" ref="X134:X137" si="321">IF(T134&gt;0,4*V134/(PI()*(U134)^2),"")</f>
        <v>1.4140444082369752</v>
      </c>
      <c r="Y134" s="113">
        <f>IF(T134&gt;0,(VLOOKUP($W134,Relaciones!$A$4:$D$108,2)),"")</f>
        <v>0.95099999999999996</v>
      </c>
      <c r="Z134" s="146">
        <f t="shared" ref="Z134:Z137" si="322">IF(T134&gt;0,Y134*X134,"")</f>
        <v>1.3447562322333633</v>
      </c>
      <c r="AA134" s="146">
        <f t="shared" ref="AA134:AA137" si="323">IF(T134&gt;0,250*U134*J134,"")</f>
        <v>0.60416666666666663</v>
      </c>
      <c r="AB134" s="147" t="str">
        <f t="shared" ref="AB134:AB137" si="324">IF(T134&gt;0,IF(W134&lt;=$B$13,"OK","No Cumple"),"")</f>
        <v>OK</v>
      </c>
      <c r="AC134" s="147" t="str">
        <f t="shared" ref="AC134:AC137" si="325">IF(T134&gt;0,IF(Z134&gt;=$B$12,"OK","No Cumple"),"")</f>
        <v>OK</v>
      </c>
      <c r="AD134" s="147" t="str">
        <f t="shared" ref="AD134:AD137" si="326">IF(T134&gt;0,IF(AA134&gt;$B$14,"OK","No Cumple"),"")</f>
        <v>OK</v>
      </c>
      <c r="AE134" s="148">
        <f t="shared" ref="AE134:AG137" si="327">+IF(AB134="OK",1,0)</f>
        <v>1</v>
      </c>
      <c r="AF134" s="148">
        <f t="shared" si="327"/>
        <v>1</v>
      </c>
      <c r="AG134" s="148">
        <f t="shared" si="327"/>
        <v>1</v>
      </c>
      <c r="AH134" s="148">
        <f t="shared" ref="AH134:AH137" si="328">SUM(AE134:AG134)</f>
        <v>3</v>
      </c>
      <c r="AI134" s="147">
        <f t="shared" ref="AI134:AI137" si="329">IF(AH134=3,2*$B$7+U134,0)</f>
        <v>0.64500000000000002</v>
      </c>
      <c r="AJ134" s="149">
        <f>IF(AI134&gt;0,I134*VLOOKUP(T134,'$ alcantarillado'!$I$6:$K$22,3),0)</f>
        <v>1792662.5</v>
      </c>
      <c r="AK134" s="149">
        <f t="shared" si="286"/>
        <v>4477831.8750000037</v>
      </c>
      <c r="AL134" s="149">
        <f t="shared" si="287"/>
        <v>2334746.4450000022</v>
      </c>
      <c r="AM134" s="149">
        <f t="shared" si="300"/>
        <v>8605240.8200000059</v>
      </c>
      <c r="AN134" s="164">
        <f>+AP103</f>
        <v>39622131.926333368</v>
      </c>
      <c r="AO134" s="150">
        <f t="shared" ref="AO134:AO137" si="330">IF((AM134)&gt;0,IF(AN134&gt;0,AM134+AN134,""),"")</f>
        <v>48227372.746333376</v>
      </c>
      <c r="AP134" s="218"/>
      <c r="AQ134" s="142"/>
      <c r="AR134" s="165"/>
    </row>
    <row r="135" spans="1:44" x14ac:dyDescent="0.25">
      <c r="A135" s="230"/>
      <c r="B135" s="230"/>
      <c r="C135" s="230"/>
      <c r="D135" s="230"/>
      <c r="E135" s="151">
        <v>3</v>
      </c>
      <c r="F135" s="142">
        <f>+H108</f>
        <v>45.765000000000001</v>
      </c>
      <c r="G135" s="151">
        <v>3</v>
      </c>
      <c r="H135" s="142">
        <f t="shared" ref="H135:I136" si="331">+H134</f>
        <v>44.64</v>
      </c>
      <c r="I135" s="142">
        <f t="shared" si="331"/>
        <v>75</v>
      </c>
      <c r="J135" s="143">
        <f t="shared" si="288"/>
        <v>1.4999999999999999E-2</v>
      </c>
      <c r="K135" s="142">
        <f t="shared" ref="K135:K136" si="332">+K134</f>
        <v>1460</v>
      </c>
      <c r="L135" s="128">
        <f t="shared" si="289"/>
        <v>16.808499999999999</v>
      </c>
      <c r="M135" s="144">
        <f t="shared" si="320"/>
        <v>1.6808499999999997E-2</v>
      </c>
      <c r="N135" s="144">
        <f t="shared" si="176"/>
        <v>0.13074122224264353</v>
      </c>
      <c r="O135" s="144">
        <f t="shared" si="177"/>
        <v>5.1472922142773045</v>
      </c>
      <c r="P135" s="145">
        <f t="shared" si="182"/>
        <v>6</v>
      </c>
      <c r="Q135" s="113">
        <f>IF(O135&gt;0,VLOOKUP(P135,'$ alcantarillado'!$I$5:$L$22,4,FALSE),"0")</f>
        <v>0.14499999999999999</v>
      </c>
      <c r="R135" s="113">
        <f t="shared" si="178"/>
        <v>2.2151859556329985E-2</v>
      </c>
      <c r="S135" s="146">
        <f t="shared" si="179"/>
        <v>0.7587850562729348</v>
      </c>
      <c r="T135" s="145">
        <f>+IF(S135&gt;$B$13,VLOOKUP(P135,'$ alcantarillado'!$I$6:$N$22,5),P135)</f>
        <v>6</v>
      </c>
      <c r="U135" s="113">
        <f>IF(O135&gt;0,VLOOKUP(T135,'$ alcantarillado'!$I$5:$L$22,4),"0")</f>
        <v>0.14499999999999999</v>
      </c>
      <c r="V135" s="113">
        <f t="shared" si="180"/>
        <v>2.2151859556329985E-2</v>
      </c>
      <c r="W135" s="146">
        <f t="shared" si="273"/>
        <v>0.7587850562729348</v>
      </c>
      <c r="X135" s="146">
        <f t="shared" si="321"/>
        <v>1.3414803127961406</v>
      </c>
      <c r="Y135" s="113">
        <f>IF(T135&gt;0,(VLOOKUP($W135,Relaciones!$A$4:$D$108,2)),"")</f>
        <v>0.96499999999999997</v>
      </c>
      <c r="Z135" s="146">
        <f t="shared" si="322"/>
        <v>1.2945285018482755</v>
      </c>
      <c r="AA135" s="146">
        <f t="shared" si="323"/>
        <v>0.54374999999999996</v>
      </c>
      <c r="AB135" s="147" t="str">
        <f t="shared" si="324"/>
        <v>OK</v>
      </c>
      <c r="AC135" s="147" t="str">
        <f t="shared" si="325"/>
        <v>OK</v>
      </c>
      <c r="AD135" s="147" t="str">
        <f t="shared" si="326"/>
        <v>OK</v>
      </c>
      <c r="AE135" s="148">
        <f t="shared" si="327"/>
        <v>1</v>
      </c>
      <c r="AF135" s="148">
        <f t="shared" si="327"/>
        <v>1</v>
      </c>
      <c r="AG135" s="148">
        <f t="shared" si="327"/>
        <v>1</v>
      </c>
      <c r="AH135" s="148">
        <f t="shared" si="328"/>
        <v>3</v>
      </c>
      <c r="AI135" s="147">
        <f t="shared" si="329"/>
        <v>0.64500000000000002</v>
      </c>
      <c r="AJ135" s="149">
        <f>IF(AI135&gt;0,I135*VLOOKUP(T135,'$ alcantarillado'!$I$6:$K$22,3),0)</f>
        <v>1792662.5</v>
      </c>
      <c r="AK135" s="149">
        <f t="shared" si="286"/>
        <v>4586675.6250000037</v>
      </c>
      <c r="AL135" s="149">
        <f t="shared" si="287"/>
        <v>2421994.0700000022</v>
      </c>
      <c r="AM135" s="149">
        <f t="shared" si="300"/>
        <v>8801332.1950000059</v>
      </c>
      <c r="AN135" s="164">
        <f>+AP108</f>
        <v>38630065.45600003</v>
      </c>
      <c r="AO135" s="150">
        <f t="shared" si="330"/>
        <v>47431397.651000038</v>
      </c>
      <c r="AP135" s="219"/>
      <c r="AQ135" s="142"/>
      <c r="AR135" s="165"/>
    </row>
    <row r="136" spans="1:44" x14ac:dyDescent="0.25">
      <c r="A136" s="230"/>
      <c r="B136" s="230"/>
      <c r="C136" s="230"/>
      <c r="D136" s="230"/>
      <c r="E136" s="151">
        <v>4</v>
      </c>
      <c r="F136" s="142">
        <f>+H113</f>
        <v>45.64</v>
      </c>
      <c r="G136" s="151">
        <v>3</v>
      </c>
      <c r="H136" s="142">
        <f t="shared" si="331"/>
        <v>44.64</v>
      </c>
      <c r="I136" s="142">
        <f t="shared" si="331"/>
        <v>75</v>
      </c>
      <c r="J136" s="143">
        <f>+(F136-H136)/I136</f>
        <v>1.3333333333333334E-2</v>
      </c>
      <c r="K136" s="142">
        <f t="shared" si="332"/>
        <v>1460</v>
      </c>
      <c r="L136" s="128">
        <f t="shared" si="289"/>
        <v>16.808499999999999</v>
      </c>
      <c r="M136" s="144">
        <f t="shared" si="320"/>
        <v>1.6808499999999997E-2</v>
      </c>
      <c r="N136" s="144">
        <f t="shared" si="176"/>
        <v>0.13366067149544208</v>
      </c>
      <c r="O136" s="144">
        <f t="shared" si="177"/>
        <v>5.2622311612378772</v>
      </c>
      <c r="P136" s="145">
        <f t="shared" si="182"/>
        <v>6</v>
      </c>
      <c r="Q136" s="113">
        <f>IF(O136&gt;0,VLOOKUP(P136,'$ alcantarillado'!$I$5:$L$22,4,FALSE),"0")</f>
        <v>0.14499999999999999</v>
      </c>
      <c r="R136" s="113">
        <f t="shared" si="178"/>
        <v>2.0884973477563944E-2</v>
      </c>
      <c r="S136" s="146">
        <f t="shared" si="179"/>
        <v>0.80481308813041241</v>
      </c>
      <c r="T136" s="145">
        <f>+IF(S136&gt;$B$13,VLOOKUP(P136,'$ alcantarillado'!$I$6:$N$22,5),P136)</f>
        <v>6</v>
      </c>
      <c r="U136" s="113">
        <f>IF(O136&gt;0,VLOOKUP(T136,'$ alcantarillado'!$I$5:$L$22,4),"0")</f>
        <v>0.14499999999999999</v>
      </c>
      <c r="V136" s="113">
        <f t="shared" si="180"/>
        <v>2.0884973477563944E-2</v>
      </c>
      <c r="W136" s="146">
        <f t="shared" si="273"/>
        <v>0.80481308813041241</v>
      </c>
      <c r="X136" s="146">
        <f t="shared" si="321"/>
        <v>1.2647597680085358</v>
      </c>
      <c r="Y136" s="113">
        <f>IF(T136&gt;0,(VLOOKUP($W136,Relaciones!$A$4:$D$108,2)),"")</f>
        <v>0.98399999999999999</v>
      </c>
      <c r="Z136" s="146">
        <f t="shared" si="322"/>
        <v>1.2445236117203993</v>
      </c>
      <c r="AA136" s="146">
        <f t="shared" si="323"/>
        <v>0.48333333333333334</v>
      </c>
      <c r="AB136" s="147" t="str">
        <f t="shared" si="324"/>
        <v>OK</v>
      </c>
      <c r="AC136" s="147" t="str">
        <f t="shared" si="325"/>
        <v>OK</v>
      </c>
      <c r="AD136" s="147" t="str">
        <f t="shared" si="326"/>
        <v>OK</v>
      </c>
      <c r="AE136" s="148">
        <f t="shared" si="327"/>
        <v>1</v>
      </c>
      <c r="AF136" s="148">
        <f t="shared" si="327"/>
        <v>1</v>
      </c>
      <c r="AG136" s="148">
        <f t="shared" si="327"/>
        <v>1</v>
      </c>
      <c r="AH136" s="148">
        <f t="shared" si="328"/>
        <v>3</v>
      </c>
      <c r="AI136" s="147">
        <f t="shared" si="329"/>
        <v>0.64500000000000002</v>
      </c>
      <c r="AJ136" s="149">
        <f>IF(AI136&gt;0,I136*VLOOKUP(T136,'$ alcantarillado'!$I$6:$K$22,3),0)</f>
        <v>1792662.5</v>
      </c>
      <c r="AK136" s="149">
        <f t="shared" si="286"/>
        <v>4695519.3750000037</v>
      </c>
      <c r="AL136" s="149">
        <f t="shared" si="287"/>
        <v>2509241.6950000022</v>
      </c>
      <c r="AM136" s="149">
        <f t="shared" si="300"/>
        <v>8997423.5700000059</v>
      </c>
      <c r="AN136" s="164">
        <f>+AP113</f>
        <v>38688115.45600003</v>
      </c>
      <c r="AO136" s="150">
        <f t="shared" si="330"/>
        <v>47685539.026000038</v>
      </c>
      <c r="AP136" s="219"/>
      <c r="AQ136" s="142">
        <v>1</v>
      </c>
      <c r="AR136" s="165">
        <v>3</v>
      </c>
    </row>
    <row r="137" spans="1:44" ht="15.75" thickBot="1" x14ac:dyDescent="0.3">
      <c r="A137" s="230"/>
      <c r="B137" s="230"/>
      <c r="C137" s="230"/>
      <c r="D137" s="230"/>
      <c r="E137" s="152">
        <v>5</v>
      </c>
      <c r="F137" s="153">
        <f>+H118</f>
        <v>45.515000000000001</v>
      </c>
      <c r="G137" s="152">
        <v>3</v>
      </c>
      <c r="H137" s="154">
        <f>+H136</f>
        <v>44.64</v>
      </c>
      <c r="I137" s="154">
        <f>+I136</f>
        <v>75</v>
      </c>
      <c r="J137" s="155">
        <f t="shared" si="288"/>
        <v>1.1666666666666667E-2</v>
      </c>
      <c r="K137" s="154">
        <f>+K136</f>
        <v>1460</v>
      </c>
      <c r="L137" s="153">
        <f t="shared" si="289"/>
        <v>16.808499999999999</v>
      </c>
      <c r="M137" s="156">
        <f t="shared" si="320"/>
        <v>1.6808499999999997E-2</v>
      </c>
      <c r="N137" s="156">
        <f t="shared" si="176"/>
        <v>0.13704939689167578</v>
      </c>
      <c r="O137" s="156">
        <f t="shared" si="177"/>
        <v>5.3956455469163691</v>
      </c>
      <c r="P137" s="157">
        <f t="shared" si="182"/>
        <v>6</v>
      </c>
      <c r="Q137" s="113">
        <f>IF(O137&gt;0,VLOOKUP(P137,'$ alcantarillado'!$I$5:$L$22,4,FALSE),"0")</f>
        <v>0.14499999999999999</v>
      </c>
      <c r="R137" s="160">
        <f t="shared" si="178"/>
        <v>1.9536103821226249E-2</v>
      </c>
      <c r="S137" s="146">
        <f t="shared" si="179"/>
        <v>0.8603813817644298</v>
      </c>
      <c r="T137" s="145">
        <f>+IF(S137&gt;$B$13,VLOOKUP(P137,'$ alcantarillado'!$I$6:$N$22,5),P137)</f>
        <v>8</v>
      </c>
      <c r="U137" s="113">
        <f>IF(O137&gt;0,VLOOKUP(T137,'$ alcantarillado'!$I$5:$L$22,4),"0")</f>
        <v>0.182</v>
      </c>
      <c r="V137" s="113">
        <f t="shared" si="180"/>
        <v>3.5813517912563465E-2</v>
      </c>
      <c r="W137" s="146">
        <f t="shared" si="273"/>
        <v>0.46933395487806956</v>
      </c>
      <c r="X137" s="146">
        <f t="shared" si="321"/>
        <v>1.3766207958687628</v>
      </c>
      <c r="Y137" s="113">
        <f>IF(T137&gt;0,(VLOOKUP($W137,Relaciones!$A$4:$D$108,2)),"")</f>
        <v>0.83</v>
      </c>
      <c r="Z137" s="146">
        <f t="shared" si="322"/>
        <v>1.1425952605710732</v>
      </c>
      <c r="AA137" s="146">
        <f t="shared" si="323"/>
        <v>0.53083333333333338</v>
      </c>
      <c r="AB137" s="147" t="str">
        <f t="shared" si="324"/>
        <v>OK</v>
      </c>
      <c r="AC137" s="147" t="str">
        <f t="shared" si="325"/>
        <v>OK</v>
      </c>
      <c r="AD137" s="147" t="str">
        <f t="shared" si="326"/>
        <v>OK</v>
      </c>
      <c r="AE137" s="148">
        <f t="shared" si="327"/>
        <v>1</v>
      </c>
      <c r="AF137" s="148">
        <f t="shared" si="327"/>
        <v>1</v>
      </c>
      <c r="AG137" s="148">
        <f t="shared" si="327"/>
        <v>1</v>
      </c>
      <c r="AH137" s="148">
        <f t="shared" si="328"/>
        <v>3</v>
      </c>
      <c r="AI137" s="147">
        <f t="shared" si="329"/>
        <v>0.68199999999999994</v>
      </c>
      <c r="AJ137" s="158">
        <f>IF(AI137&gt;0,I137*VLOOKUP(T137,'$ alcantarillado'!$I$6:$K$22,3),0)</f>
        <v>2488675</v>
      </c>
      <c r="AK137" s="149">
        <f t="shared" si="286"/>
        <v>5131061.1000000024</v>
      </c>
      <c r="AL137" s="149">
        <f t="shared" si="287"/>
        <v>2622314.6170000019</v>
      </c>
      <c r="AM137" s="158">
        <f t="shared" si="300"/>
        <v>10242050.717000004</v>
      </c>
      <c r="AN137" s="167">
        <f>+AP118</f>
        <v>38746165.45600003</v>
      </c>
      <c r="AO137" s="159">
        <f t="shared" si="330"/>
        <v>48988216.173000038</v>
      </c>
      <c r="AP137" s="220"/>
      <c r="AQ137" s="154"/>
      <c r="AR137" s="166"/>
    </row>
    <row r="138" spans="1:44" x14ac:dyDescent="0.25">
      <c r="A138" s="230"/>
      <c r="B138" s="230"/>
      <c r="C138" s="230"/>
      <c r="D138" s="230"/>
      <c r="E138" s="127">
        <v>1</v>
      </c>
      <c r="F138" s="129">
        <f>+H98</f>
        <v>46.015000000000001</v>
      </c>
      <c r="G138" s="127">
        <v>4</v>
      </c>
      <c r="H138" s="132">
        <f>+H133-$B$15</f>
        <v>44.515000000000001</v>
      </c>
      <c r="I138" s="142">
        <f>+I133</f>
        <v>75</v>
      </c>
      <c r="J138" s="143">
        <f>+(F138-H138)/I138</f>
        <v>0.02</v>
      </c>
      <c r="K138" s="142">
        <f>+K133</f>
        <v>1460</v>
      </c>
      <c r="L138" s="132">
        <f>IF(K138&lt;38,K138^0.3686*0.7401,IF(K138&lt;235,K138^0.4193*0.6215,IF(K138&lt;932,K138*0.0092+4.2493,K138*0.0069+6.7345)))</f>
        <v>16.808499999999999</v>
      </c>
      <c r="M138" s="133">
        <f>+L138/1000</f>
        <v>1.6808499999999997E-2</v>
      </c>
      <c r="N138" s="133">
        <f t="shared" si="176"/>
        <v>0.12387581578857372</v>
      </c>
      <c r="O138" s="133">
        <f t="shared" si="177"/>
        <v>4.8770006215973911</v>
      </c>
      <c r="P138" s="134">
        <f t="shared" si="182"/>
        <v>6</v>
      </c>
      <c r="Q138" s="135">
        <f>IF(O138&gt;0,VLOOKUP(P138,'$ alcantarillado'!$I$5:$L$22,4,FALSE),"0")</f>
        <v>0.14499999999999999</v>
      </c>
      <c r="R138" s="135">
        <f t="shared" si="178"/>
        <v>2.55787641557958E-2</v>
      </c>
      <c r="S138" s="136">
        <f t="shared" si="179"/>
        <v>0.65712713474436646</v>
      </c>
      <c r="T138" s="134">
        <f>+IF(S138&gt;$B$13,VLOOKUP(P138,'$ alcantarillado'!$I$6:$N$22,5),P138)</f>
        <v>6</v>
      </c>
      <c r="U138" s="135">
        <f>IF(O138&gt;0,VLOOKUP(T138,'$ alcantarillado'!$I$5:$L$22,4),"0")</f>
        <v>0.14499999999999999</v>
      </c>
      <c r="V138" s="135">
        <f t="shared" si="180"/>
        <v>2.55787641557958E-2</v>
      </c>
      <c r="W138" s="136">
        <f t="shared" si="273"/>
        <v>0.65712713474436646</v>
      </c>
      <c r="X138" s="136">
        <f>IF(T138&gt;0,4*V138/(PI()*(U138)^2),"")</f>
        <v>1.5490080394108703</v>
      </c>
      <c r="Y138" s="135">
        <f>IF(T138&gt;0,(VLOOKUP($W138,Relaciones!$A$4:$D$108,2)),"")</f>
        <v>0.92200000000000004</v>
      </c>
      <c r="Z138" s="136">
        <f>IF(T138&gt;0,Y138*X138,"")</f>
        <v>1.4281854123368225</v>
      </c>
      <c r="AA138" s="136">
        <f>IF(T138&gt;0,250*U138*J138,"")</f>
        <v>0.72499999999999998</v>
      </c>
      <c r="AB138" s="137" t="str">
        <f>IF(T138&gt;0,IF(W138&lt;=$B$13,"OK","No Cumple"),"")</f>
        <v>OK</v>
      </c>
      <c r="AC138" s="137" t="str">
        <f>IF(T138&gt;0,IF(Z138&gt;=$B$12,"OK","No Cumple"),"")</f>
        <v>OK</v>
      </c>
      <c r="AD138" s="137" t="str">
        <f>IF(T138&gt;0,IF(AA138&gt;$B$14,"OK","No Cumple"),"")</f>
        <v>OK</v>
      </c>
      <c r="AE138" s="138">
        <f>+IF(AB138="OK",1,0)</f>
        <v>1</v>
      </c>
      <c r="AF138" s="138">
        <f>+IF(AC138="OK",1,0)</f>
        <v>1</v>
      </c>
      <c r="AG138" s="138">
        <f>+IF(AD138="OK",1,0)</f>
        <v>1</v>
      </c>
      <c r="AH138" s="138">
        <f>SUM(AE138:AG138)</f>
        <v>3</v>
      </c>
      <c r="AI138" s="137">
        <f>IF(AH138=3,2*$B$7+U138,0)</f>
        <v>0.64500000000000002</v>
      </c>
      <c r="AJ138" s="139">
        <f>IF(AI138&gt;0,I138*VLOOKUP(T138,'$ alcantarillado'!$I$6:$K$22,3),0)</f>
        <v>1792662.5</v>
      </c>
      <c r="AK138" s="139">
        <f t="shared" si="286"/>
        <v>4423410.0000000037</v>
      </c>
      <c r="AL138" s="139">
        <f t="shared" si="287"/>
        <v>2247498.8200000022</v>
      </c>
      <c r="AM138" s="139">
        <f>IF(AJ138&gt;0,AJ138+AK138+AL138,0)</f>
        <v>8463571.3200000059</v>
      </c>
      <c r="AN138" s="162">
        <f>IF(AP98&gt;0,+AP98,0)</f>
        <v>39560751.926333368</v>
      </c>
      <c r="AO138" s="140">
        <f>IF((AM138)&gt;0,IF(AN138&gt;0,AM138+AN138,""),"")</f>
        <v>48024323.246333376</v>
      </c>
      <c r="AP138" s="217">
        <f>+MIN(AO138:AO142)</f>
        <v>47485819.526000038</v>
      </c>
      <c r="AQ138" s="129"/>
      <c r="AR138" s="163"/>
    </row>
    <row r="139" spans="1:44" x14ac:dyDescent="0.25">
      <c r="A139" s="230"/>
      <c r="B139" s="230"/>
      <c r="C139" s="230"/>
      <c r="D139" s="230"/>
      <c r="E139" s="141">
        <v>2</v>
      </c>
      <c r="F139" s="142">
        <f>+H103</f>
        <v>45.89</v>
      </c>
      <c r="G139" s="141">
        <v>4</v>
      </c>
      <c r="H139" s="128">
        <f>+H138</f>
        <v>44.515000000000001</v>
      </c>
      <c r="I139" s="142">
        <f>+I138</f>
        <v>75</v>
      </c>
      <c r="J139" s="143">
        <f t="shared" si="288"/>
        <v>1.8333333333333333E-2</v>
      </c>
      <c r="K139" s="142">
        <f>+K138</f>
        <v>1460</v>
      </c>
      <c r="L139" s="128">
        <f t="shared" si="289"/>
        <v>16.808499999999999</v>
      </c>
      <c r="M139" s="144">
        <f t="shared" ref="M139:M142" si="333">+L139/1000</f>
        <v>1.6808499999999997E-2</v>
      </c>
      <c r="N139" s="144">
        <f t="shared" si="176"/>
        <v>0.1259133801470671</v>
      </c>
      <c r="O139" s="144">
        <f t="shared" si="177"/>
        <v>4.9572196908294135</v>
      </c>
      <c r="P139" s="145">
        <f t="shared" si="182"/>
        <v>6</v>
      </c>
      <c r="Q139" s="113">
        <f>IF(O139&gt;0,VLOOKUP(P139,'$ alcantarillado'!$I$5:$L$22,4,FALSE),"0")</f>
        <v>0.14499999999999999</v>
      </c>
      <c r="R139" s="113">
        <f t="shared" si="178"/>
        <v>2.4489802185665068E-2</v>
      </c>
      <c r="S139" s="146">
        <f t="shared" si="179"/>
        <v>0.68634690768709983</v>
      </c>
      <c r="T139" s="145">
        <f>+IF(S139&gt;$B$13,VLOOKUP(P139,'$ alcantarillado'!$I$6:$N$22,5),P139)</f>
        <v>6</v>
      </c>
      <c r="U139" s="113">
        <f>IF(O139&gt;0,VLOOKUP(T139,'$ alcantarillado'!$I$5:$L$22,4),"0")</f>
        <v>0.14499999999999999</v>
      </c>
      <c r="V139" s="113">
        <f t="shared" si="180"/>
        <v>2.4489802185665068E-2</v>
      </c>
      <c r="W139" s="146">
        <f t="shared" si="273"/>
        <v>0.68634690768709983</v>
      </c>
      <c r="X139" s="146">
        <f t="shared" ref="X139:X142" si="334">IF(T139&gt;0,4*V139/(PI()*(U139)^2),"")</f>
        <v>1.4830622870644654</v>
      </c>
      <c r="Y139" s="113">
        <f>IF(T139&gt;0,(VLOOKUP($W139,Relaciones!$A$4:$D$108,2)),"")</f>
        <v>0.93600000000000005</v>
      </c>
      <c r="Z139" s="146">
        <f t="shared" ref="Z139:Z142" si="335">IF(T139&gt;0,Y139*X139,"")</f>
        <v>1.3881463006923398</v>
      </c>
      <c r="AA139" s="146">
        <f t="shared" ref="AA139:AA142" si="336">IF(T139&gt;0,250*U139*J139,"")</f>
        <v>0.6645833333333333</v>
      </c>
      <c r="AB139" s="147" t="str">
        <f t="shared" ref="AB139:AB142" si="337">IF(T139&gt;0,IF(W139&lt;=$B$13,"OK","No Cumple"),"")</f>
        <v>OK</v>
      </c>
      <c r="AC139" s="147" t="str">
        <f t="shared" ref="AC139:AC142" si="338">IF(T139&gt;0,IF(Z139&gt;=$B$12,"OK","No Cumple"),"")</f>
        <v>OK</v>
      </c>
      <c r="AD139" s="147" t="str">
        <f t="shared" ref="AD139:AD142" si="339">IF(T139&gt;0,IF(AA139&gt;$B$14,"OK","No Cumple"),"")</f>
        <v>OK</v>
      </c>
      <c r="AE139" s="148">
        <f t="shared" ref="AE139:AG142" si="340">+IF(AB139="OK",1,0)</f>
        <v>1</v>
      </c>
      <c r="AF139" s="148">
        <f t="shared" si="340"/>
        <v>1</v>
      </c>
      <c r="AG139" s="148">
        <f t="shared" si="340"/>
        <v>1</v>
      </c>
      <c r="AH139" s="148">
        <f t="shared" ref="AH139:AH142" si="341">SUM(AE139:AG139)</f>
        <v>3</v>
      </c>
      <c r="AI139" s="147">
        <f t="shared" ref="AI139:AI142" si="342">IF(AH139=3,2*$B$7+U139,0)</f>
        <v>0.64500000000000002</v>
      </c>
      <c r="AJ139" s="149">
        <f>IF(AI139&gt;0,I139*VLOOKUP(T139,'$ alcantarillado'!$I$6:$K$22,3),0)</f>
        <v>1792662.5</v>
      </c>
      <c r="AK139" s="149">
        <f t="shared" si="286"/>
        <v>4532253.7500000037</v>
      </c>
      <c r="AL139" s="149">
        <f t="shared" si="287"/>
        <v>2334746.4450000022</v>
      </c>
      <c r="AM139" s="149">
        <f t="shared" si="300"/>
        <v>8659662.6950000059</v>
      </c>
      <c r="AN139" s="164">
        <f>+AP103</f>
        <v>39622131.926333368</v>
      </c>
      <c r="AO139" s="150">
        <f t="shared" ref="AO139:AO142" si="343">IF((AM139)&gt;0,IF(AN139&gt;0,AM139+AN139,""),"")</f>
        <v>48281794.621333376</v>
      </c>
      <c r="AP139" s="218"/>
      <c r="AQ139" s="142"/>
      <c r="AR139" s="165"/>
    </row>
    <row r="140" spans="1:44" x14ac:dyDescent="0.25">
      <c r="A140" s="230"/>
      <c r="B140" s="230"/>
      <c r="C140" s="230"/>
      <c r="D140" s="230"/>
      <c r="E140" s="151">
        <v>3</v>
      </c>
      <c r="F140" s="142">
        <f>+H108</f>
        <v>45.765000000000001</v>
      </c>
      <c r="G140" s="151">
        <v>4</v>
      </c>
      <c r="H140" s="128">
        <f t="shared" ref="H140:I141" si="344">+H139</f>
        <v>44.515000000000001</v>
      </c>
      <c r="I140" s="142">
        <f t="shared" si="344"/>
        <v>75</v>
      </c>
      <c r="J140" s="143">
        <f t="shared" si="288"/>
        <v>1.6666666666666666E-2</v>
      </c>
      <c r="K140" s="142">
        <f t="shared" ref="K140:K141" si="345">+K139</f>
        <v>1460</v>
      </c>
      <c r="L140" s="128">
        <f t="shared" si="289"/>
        <v>16.808499999999999</v>
      </c>
      <c r="M140" s="144">
        <f t="shared" si="333"/>
        <v>1.6808499999999997E-2</v>
      </c>
      <c r="N140" s="144">
        <f t="shared" si="176"/>
        <v>0.12818376137295873</v>
      </c>
      <c r="O140" s="144">
        <f t="shared" si="177"/>
        <v>5.0466047784629424</v>
      </c>
      <c r="P140" s="145">
        <f t="shared" si="182"/>
        <v>6</v>
      </c>
      <c r="Q140" s="113">
        <f>IF(O140&gt;0,VLOOKUP(P140,'$ alcantarillado'!$I$5:$L$22,4,FALSE),"0")</f>
        <v>0.14499999999999999</v>
      </c>
      <c r="R140" s="113">
        <f t="shared" si="178"/>
        <v>2.335011020205658E-2</v>
      </c>
      <c r="S140" s="146">
        <f t="shared" si="179"/>
        <v>0.71984670969645248</v>
      </c>
      <c r="T140" s="145">
        <f>+IF(S140&gt;$B$13,VLOOKUP(P140,'$ alcantarillado'!$I$6:$N$22,5),P140)</f>
        <v>6</v>
      </c>
      <c r="U140" s="113">
        <f>IF(O140&gt;0,VLOOKUP(T140,'$ alcantarillado'!$I$5:$L$22,4),"0")</f>
        <v>0.14499999999999999</v>
      </c>
      <c r="V140" s="113">
        <f t="shared" si="180"/>
        <v>2.335011020205658E-2</v>
      </c>
      <c r="W140" s="146">
        <f t="shared" si="273"/>
        <v>0.71984670969645248</v>
      </c>
      <c r="X140" s="146">
        <f t="shared" si="334"/>
        <v>1.4140444082369752</v>
      </c>
      <c r="Y140" s="113">
        <f>IF(T140&gt;0,(VLOOKUP($W140,Relaciones!$A$4:$D$108,2)),"")</f>
        <v>0.95099999999999996</v>
      </c>
      <c r="Z140" s="146">
        <f t="shared" si="335"/>
        <v>1.3447562322333633</v>
      </c>
      <c r="AA140" s="146">
        <f t="shared" si="336"/>
        <v>0.60416666666666663</v>
      </c>
      <c r="AB140" s="147" t="str">
        <f t="shared" si="337"/>
        <v>OK</v>
      </c>
      <c r="AC140" s="147" t="str">
        <f t="shared" si="338"/>
        <v>OK</v>
      </c>
      <c r="AD140" s="147" t="str">
        <f t="shared" si="339"/>
        <v>OK</v>
      </c>
      <c r="AE140" s="148">
        <f t="shared" si="340"/>
        <v>1</v>
      </c>
      <c r="AF140" s="148">
        <f t="shared" si="340"/>
        <v>1</v>
      </c>
      <c r="AG140" s="148">
        <f t="shared" si="340"/>
        <v>1</v>
      </c>
      <c r="AH140" s="148">
        <f t="shared" si="341"/>
        <v>3</v>
      </c>
      <c r="AI140" s="147">
        <f t="shared" si="342"/>
        <v>0.64500000000000002</v>
      </c>
      <c r="AJ140" s="149">
        <f>IF(AI140&gt;0,I140*VLOOKUP(T140,'$ alcantarillado'!$I$6:$K$22,3),0)</f>
        <v>1792662.5</v>
      </c>
      <c r="AK140" s="149">
        <f t="shared" si="286"/>
        <v>4641097.5000000037</v>
      </c>
      <c r="AL140" s="149">
        <f t="shared" si="287"/>
        <v>2421994.0700000022</v>
      </c>
      <c r="AM140" s="149">
        <f t="shared" si="300"/>
        <v>8855754.0700000059</v>
      </c>
      <c r="AN140" s="164">
        <f>+AP108</f>
        <v>38630065.45600003</v>
      </c>
      <c r="AO140" s="150">
        <f t="shared" si="343"/>
        <v>47485819.526000038</v>
      </c>
      <c r="AP140" s="219"/>
      <c r="AQ140" s="142">
        <v>3</v>
      </c>
      <c r="AR140" s="165">
        <v>4</v>
      </c>
    </row>
    <row r="141" spans="1:44" x14ac:dyDescent="0.25">
      <c r="A141" s="230"/>
      <c r="B141" s="230"/>
      <c r="C141" s="230"/>
      <c r="D141" s="230"/>
      <c r="E141" s="151">
        <v>4</v>
      </c>
      <c r="F141" s="142">
        <f>+H113</f>
        <v>45.64</v>
      </c>
      <c r="G141" s="151">
        <v>4</v>
      </c>
      <c r="H141" s="128">
        <f t="shared" si="344"/>
        <v>44.515000000000001</v>
      </c>
      <c r="I141" s="142">
        <f t="shared" si="344"/>
        <v>75</v>
      </c>
      <c r="J141" s="143">
        <f>+(F141-H141)/I141</f>
        <v>1.4999999999999999E-2</v>
      </c>
      <c r="K141" s="142">
        <f t="shared" si="345"/>
        <v>1460</v>
      </c>
      <c r="L141" s="128">
        <f t="shared" si="289"/>
        <v>16.808499999999999</v>
      </c>
      <c r="M141" s="144">
        <f t="shared" si="333"/>
        <v>1.6808499999999997E-2</v>
      </c>
      <c r="N141" s="144">
        <f t="shared" si="176"/>
        <v>0.13074122224264353</v>
      </c>
      <c r="O141" s="144">
        <f t="shared" si="177"/>
        <v>5.1472922142773045</v>
      </c>
      <c r="P141" s="145">
        <f t="shared" si="182"/>
        <v>6</v>
      </c>
      <c r="Q141" s="113">
        <f>IF(O141&gt;0,VLOOKUP(P141,'$ alcantarillado'!$I$5:$L$22,4,FALSE),"0")</f>
        <v>0.14499999999999999</v>
      </c>
      <c r="R141" s="113">
        <f t="shared" si="178"/>
        <v>2.2151859556329985E-2</v>
      </c>
      <c r="S141" s="146">
        <f t="shared" si="179"/>
        <v>0.7587850562729348</v>
      </c>
      <c r="T141" s="145">
        <f>+IF(S141&gt;$B$13,VLOOKUP(P141,'$ alcantarillado'!$I$6:$N$22,5),P141)</f>
        <v>6</v>
      </c>
      <c r="U141" s="113">
        <f>IF(O141&gt;0,VLOOKUP(T141,'$ alcantarillado'!$I$5:$L$22,4),"0")</f>
        <v>0.14499999999999999</v>
      </c>
      <c r="V141" s="113">
        <f t="shared" si="180"/>
        <v>2.2151859556329985E-2</v>
      </c>
      <c r="W141" s="146">
        <f t="shared" si="273"/>
        <v>0.7587850562729348</v>
      </c>
      <c r="X141" s="146">
        <f t="shared" si="334"/>
        <v>1.3414803127961406</v>
      </c>
      <c r="Y141" s="113">
        <f>IF(T141&gt;0,(VLOOKUP($W141,Relaciones!$A$4:$D$108,2)),"")</f>
        <v>0.96499999999999997</v>
      </c>
      <c r="Z141" s="146">
        <f t="shared" si="335"/>
        <v>1.2945285018482755</v>
      </c>
      <c r="AA141" s="146">
        <f t="shared" si="336"/>
        <v>0.54374999999999996</v>
      </c>
      <c r="AB141" s="147" t="str">
        <f t="shared" si="337"/>
        <v>OK</v>
      </c>
      <c r="AC141" s="147" t="str">
        <f t="shared" si="338"/>
        <v>OK</v>
      </c>
      <c r="AD141" s="147" t="str">
        <f t="shared" si="339"/>
        <v>OK</v>
      </c>
      <c r="AE141" s="148">
        <f t="shared" si="340"/>
        <v>1</v>
      </c>
      <c r="AF141" s="148">
        <f t="shared" si="340"/>
        <v>1</v>
      </c>
      <c r="AG141" s="148">
        <f t="shared" si="340"/>
        <v>1</v>
      </c>
      <c r="AH141" s="148">
        <f t="shared" si="341"/>
        <v>3</v>
      </c>
      <c r="AI141" s="147">
        <f t="shared" si="342"/>
        <v>0.64500000000000002</v>
      </c>
      <c r="AJ141" s="149">
        <f>IF(AI141&gt;0,I141*VLOOKUP(T141,'$ alcantarillado'!$I$6:$K$22,3),0)</f>
        <v>1792662.5</v>
      </c>
      <c r="AK141" s="149">
        <f t="shared" si="286"/>
        <v>4749941.2500000037</v>
      </c>
      <c r="AL141" s="149">
        <f t="shared" si="287"/>
        <v>2509241.6950000022</v>
      </c>
      <c r="AM141" s="149">
        <f t="shared" si="300"/>
        <v>9051845.4450000059</v>
      </c>
      <c r="AN141" s="164">
        <f>+AP113</f>
        <v>38688115.45600003</v>
      </c>
      <c r="AO141" s="150">
        <f t="shared" si="343"/>
        <v>47739960.901000038</v>
      </c>
      <c r="AP141" s="219"/>
      <c r="AQ141" s="142"/>
      <c r="AR141" s="165"/>
    </row>
    <row r="142" spans="1:44" ht="15.75" thickBot="1" x14ac:dyDescent="0.3">
      <c r="A142" s="230"/>
      <c r="B142" s="230"/>
      <c r="C142" s="230"/>
      <c r="D142" s="230"/>
      <c r="E142" s="152">
        <v>5</v>
      </c>
      <c r="F142" s="153">
        <f>+H118</f>
        <v>45.515000000000001</v>
      </c>
      <c r="G142" s="152">
        <v>4</v>
      </c>
      <c r="H142" s="153">
        <f>+H141</f>
        <v>44.515000000000001</v>
      </c>
      <c r="I142" s="154">
        <f>+I141</f>
        <v>75</v>
      </c>
      <c r="J142" s="155">
        <f t="shared" si="288"/>
        <v>1.3333333333333334E-2</v>
      </c>
      <c r="K142" s="154">
        <f>+K141</f>
        <v>1460</v>
      </c>
      <c r="L142" s="153">
        <f t="shared" si="289"/>
        <v>16.808499999999999</v>
      </c>
      <c r="M142" s="156">
        <f t="shared" si="333"/>
        <v>1.6808499999999997E-2</v>
      </c>
      <c r="N142" s="156">
        <f t="shared" si="176"/>
        <v>0.13366067149544208</v>
      </c>
      <c r="O142" s="156">
        <f t="shared" si="177"/>
        <v>5.2622311612378772</v>
      </c>
      <c r="P142" s="157">
        <f t="shared" si="182"/>
        <v>6</v>
      </c>
      <c r="Q142" s="113">
        <f>IF(O142&gt;0,VLOOKUP(P142,'$ alcantarillado'!$I$5:$L$22,4,FALSE),"0")</f>
        <v>0.14499999999999999</v>
      </c>
      <c r="R142" s="160">
        <f t="shared" si="178"/>
        <v>2.0884973477563944E-2</v>
      </c>
      <c r="S142" s="146">
        <f t="shared" si="179"/>
        <v>0.80481308813041241</v>
      </c>
      <c r="T142" s="145">
        <f>+IF(S142&gt;$B$13,VLOOKUP(P142,'$ alcantarillado'!$I$6:$N$22,5),P142)</f>
        <v>6</v>
      </c>
      <c r="U142" s="113">
        <f>IF(O142&gt;0,VLOOKUP(T142,'$ alcantarillado'!$I$5:$L$22,4),"0")</f>
        <v>0.14499999999999999</v>
      </c>
      <c r="V142" s="113">
        <f t="shared" si="180"/>
        <v>2.0884973477563944E-2</v>
      </c>
      <c r="W142" s="146">
        <f t="shared" si="273"/>
        <v>0.80481308813041241</v>
      </c>
      <c r="X142" s="146">
        <f t="shared" si="334"/>
        <v>1.2647597680085358</v>
      </c>
      <c r="Y142" s="113">
        <f>IF(T142&gt;0,(VLOOKUP($W142,Relaciones!$A$4:$D$108,2)),"")</f>
        <v>0.98399999999999999</v>
      </c>
      <c r="Z142" s="146">
        <f t="shared" si="335"/>
        <v>1.2445236117203993</v>
      </c>
      <c r="AA142" s="146">
        <f t="shared" si="336"/>
        <v>0.48333333333333334</v>
      </c>
      <c r="AB142" s="147" t="str">
        <f t="shared" si="337"/>
        <v>OK</v>
      </c>
      <c r="AC142" s="147" t="str">
        <f t="shared" si="338"/>
        <v>OK</v>
      </c>
      <c r="AD142" s="147" t="str">
        <f t="shared" si="339"/>
        <v>OK</v>
      </c>
      <c r="AE142" s="148">
        <f t="shared" si="340"/>
        <v>1</v>
      </c>
      <c r="AF142" s="148">
        <f t="shared" si="340"/>
        <v>1</v>
      </c>
      <c r="AG142" s="148">
        <f t="shared" si="340"/>
        <v>1</v>
      </c>
      <c r="AH142" s="148">
        <f t="shared" si="341"/>
        <v>3</v>
      </c>
      <c r="AI142" s="147">
        <f t="shared" si="342"/>
        <v>0.64500000000000002</v>
      </c>
      <c r="AJ142" s="158">
        <f>IF(AI142&gt;0,I142*VLOOKUP(T142,'$ alcantarillado'!$I$6:$K$22,3),0)</f>
        <v>1792662.5</v>
      </c>
      <c r="AK142" s="149">
        <f t="shared" si="286"/>
        <v>4858785.0000000037</v>
      </c>
      <c r="AL142" s="149">
        <f t="shared" si="287"/>
        <v>2596489.3200000022</v>
      </c>
      <c r="AM142" s="158">
        <f t="shared" si="300"/>
        <v>9247936.8200000059</v>
      </c>
      <c r="AN142" s="167">
        <f>+AP118</f>
        <v>38746165.45600003</v>
      </c>
      <c r="AO142" s="159">
        <f t="shared" si="343"/>
        <v>47994102.276000038</v>
      </c>
      <c r="AP142" s="220"/>
      <c r="AQ142" s="154"/>
      <c r="AR142" s="166"/>
    </row>
    <row r="143" spans="1:44" x14ac:dyDescent="0.25">
      <c r="A143" s="230"/>
      <c r="B143" s="230"/>
      <c r="C143" s="230"/>
      <c r="D143" s="230"/>
      <c r="E143" s="127">
        <v>1</v>
      </c>
      <c r="F143" s="129">
        <f>+H98</f>
        <v>46.015000000000001</v>
      </c>
      <c r="G143" s="127">
        <v>5</v>
      </c>
      <c r="H143" s="132">
        <f>+H133-2*$B$15</f>
        <v>44.39</v>
      </c>
      <c r="I143" s="142">
        <f>+I138</f>
        <v>75</v>
      </c>
      <c r="J143" s="143">
        <f>+(F143-H143)/I143</f>
        <v>2.1666666666666667E-2</v>
      </c>
      <c r="K143" s="142">
        <f>+K138</f>
        <v>1460</v>
      </c>
      <c r="L143" s="132">
        <f>IF(K143&lt;38,K143^0.3686*0.7401,IF(K143&lt;235,K143^0.4193*0.6215,IF(K143&lt;932,K143*0.0092+4.2493,K143*0.0069+6.7345)))</f>
        <v>16.808499999999999</v>
      </c>
      <c r="M143" s="133">
        <f>+L143/1000</f>
        <v>1.6808499999999997E-2</v>
      </c>
      <c r="N143" s="133">
        <f t="shared" si="176"/>
        <v>0.12203056797467006</v>
      </c>
      <c r="O143" s="133">
        <f t="shared" si="177"/>
        <v>4.8043530698688999</v>
      </c>
      <c r="P143" s="134">
        <f t="shared" si="182"/>
        <v>6</v>
      </c>
      <c r="Q143" s="135">
        <f>IF(O143&gt;0,VLOOKUP(P143,'$ alcantarillado'!$I$5:$L$22,4,FALSE),"0")</f>
        <v>0.14499999999999999</v>
      </c>
      <c r="R143" s="135">
        <f t="shared" si="178"/>
        <v>2.6623221825741582E-2</v>
      </c>
      <c r="S143" s="136">
        <f t="shared" si="179"/>
        <v>0.63134732941105265</v>
      </c>
      <c r="T143" s="134">
        <f>+IF(S143&gt;$B$13,VLOOKUP(P143,'$ alcantarillado'!$I$6:$N$22,5),P143)</f>
        <v>6</v>
      </c>
      <c r="U143" s="135">
        <f>IF(O143&gt;0,VLOOKUP(T143,'$ alcantarillado'!$I$5:$L$22,4),"0")</f>
        <v>0.14499999999999999</v>
      </c>
      <c r="V143" s="135">
        <f t="shared" si="180"/>
        <v>2.6623221825741582E-2</v>
      </c>
      <c r="W143" s="136">
        <f t="shared" si="273"/>
        <v>0.63134732941105265</v>
      </c>
      <c r="X143" s="136">
        <f>IF(T143&gt;0,4*V143/(PI()*(U143)^2),"")</f>
        <v>1.6122586842706521</v>
      </c>
      <c r="Y143" s="135">
        <f>IF(T143&gt;0,(VLOOKUP($W143,Relaciones!$A$4:$D$108,2)),"")</f>
        <v>0.91300000000000003</v>
      </c>
      <c r="Z143" s="136">
        <f>IF(T143&gt;0,Y143*X143,"")</f>
        <v>1.4719921787391055</v>
      </c>
      <c r="AA143" s="136">
        <f>IF(T143&gt;0,250*U143*J143,"")</f>
        <v>0.78541666666666665</v>
      </c>
      <c r="AB143" s="137" t="str">
        <f>IF(T143&gt;0,IF(W143&lt;=$B$13,"OK","No Cumple"),"")</f>
        <v>OK</v>
      </c>
      <c r="AC143" s="137" t="str">
        <f>IF(T143&gt;0,IF(Z143&gt;=$B$12,"OK","No Cumple"),"")</f>
        <v>OK</v>
      </c>
      <c r="AD143" s="137" t="str">
        <f>IF(T143&gt;0,IF(AA143&gt;$B$14,"OK","No Cumple"),"")</f>
        <v>OK</v>
      </c>
      <c r="AE143" s="138">
        <f>+IF(AB143="OK",1,0)</f>
        <v>1</v>
      </c>
      <c r="AF143" s="138">
        <f>+IF(AC143="OK",1,0)</f>
        <v>1</v>
      </c>
      <c r="AG143" s="138">
        <f>+IF(AD143="OK",1,0)</f>
        <v>1</v>
      </c>
      <c r="AH143" s="138">
        <f>SUM(AE143:AG143)</f>
        <v>3</v>
      </c>
      <c r="AI143" s="137">
        <f>IF(AH143=3,2*$B$7+U143,0)</f>
        <v>0.64500000000000002</v>
      </c>
      <c r="AJ143" s="139">
        <f>IF(AI143&gt;0,I143*VLOOKUP(T143,'$ alcantarillado'!$I$6:$K$22,3),0)</f>
        <v>1792662.5</v>
      </c>
      <c r="AK143" s="139">
        <f t="shared" si="286"/>
        <v>4477831.8750000037</v>
      </c>
      <c r="AL143" s="139">
        <f t="shared" si="287"/>
        <v>2247498.8200000022</v>
      </c>
      <c r="AM143" s="139">
        <f>IF(AJ143&gt;0,AJ143+AK143+AL143,0)</f>
        <v>8517993.1950000059</v>
      </c>
      <c r="AN143" s="162">
        <f>IF(AP98&gt;0,+AP98,0)</f>
        <v>39560751.926333368</v>
      </c>
      <c r="AO143" s="140">
        <f>IF((AM143)&gt;0,IF(AN143&gt;0,AM143+AN143,""),"")</f>
        <v>48078745.121333376</v>
      </c>
      <c r="AP143" s="217">
        <f t="shared" ref="AP143" si="346">+MIN(AO143:AO147)</f>
        <v>47540241.401000038</v>
      </c>
      <c r="AQ143" s="142"/>
      <c r="AR143" s="165"/>
    </row>
    <row r="144" spans="1:44" x14ac:dyDescent="0.25">
      <c r="A144" s="230"/>
      <c r="B144" s="230"/>
      <c r="C144" s="230"/>
      <c r="D144" s="230"/>
      <c r="E144" s="141">
        <v>2</v>
      </c>
      <c r="F144" s="142">
        <f>+H103</f>
        <v>45.89</v>
      </c>
      <c r="G144" s="141">
        <v>5</v>
      </c>
      <c r="H144" s="128">
        <f>+H143</f>
        <v>44.39</v>
      </c>
      <c r="I144" s="142">
        <f>+I143</f>
        <v>75</v>
      </c>
      <c r="J144" s="143">
        <f t="shared" si="288"/>
        <v>0.02</v>
      </c>
      <c r="K144" s="142">
        <f>+K143</f>
        <v>1460</v>
      </c>
      <c r="L144" s="128">
        <f t="shared" si="289"/>
        <v>16.808499999999999</v>
      </c>
      <c r="M144" s="144">
        <f t="shared" ref="M144:M147" si="347">+L144/1000</f>
        <v>1.6808499999999997E-2</v>
      </c>
      <c r="N144" s="144">
        <f t="shared" si="176"/>
        <v>0.12387581578857372</v>
      </c>
      <c r="O144" s="144">
        <f t="shared" si="177"/>
        <v>4.8770006215973911</v>
      </c>
      <c r="P144" s="145">
        <f t="shared" si="182"/>
        <v>6</v>
      </c>
      <c r="Q144" s="113">
        <f>IF(O144&gt;0,VLOOKUP(P144,'$ alcantarillado'!$I$5:$L$22,4,FALSE),"0")</f>
        <v>0.14499999999999999</v>
      </c>
      <c r="R144" s="113">
        <f t="shared" si="178"/>
        <v>2.55787641557958E-2</v>
      </c>
      <c r="S144" s="146">
        <f t="shared" si="179"/>
        <v>0.65712713474436646</v>
      </c>
      <c r="T144" s="145">
        <f>+IF(S144&gt;$B$13,VLOOKUP(P144,'$ alcantarillado'!$I$6:$N$22,5),P144)</f>
        <v>6</v>
      </c>
      <c r="U144" s="113">
        <f>IF(O144&gt;0,VLOOKUP(T144,'$ alcantarillado'!$I$5:$L$22,4),"0")</f>
        <v>0.14499999999999999</v>
      </c>
      <c r="V144" s="113">
        <f t="shared" si="180"/>
        <v>2.55787641557958E-2</v>
      </c>
      <c r="W144" s="146">
        <f t="shared" si="273"/>
        <v>0.65712713474436646</v>
      </c>
      <c r="X144" s="146">
        <f t="shared" ref="X144:X147" si="348">IF(T144&gt;0,4*V144/(PI()*(U144)^2),"")</f>
        <v>1.5490080394108703</v>
      </c>
      <c r="Y144" s="113">
        <f>IF(T144&gt;0,(VLOOKUP($W144,Relaciones!$A$4:$D$108,2)),"")</f>
        <v>0.92200000000000004</v>
      </c>
      <c r="Z144" s="146">
        <f t="shared" ref="Z144:Z147" si="349">IF(T144&gt;0,Y144*X144,"")</f>
        <v>1.4281854123368225</v>
      </c>
      <c r="AA144" s="146">
        <f t="shared" ref="AA144:AA147" si="350">IF(T144&gt;0,250*U144*J144,"")</f>
        <v>0.72499999999999998</v>
      </c>
      <c r="AB144" s="147" t="str">
        <f t="shared" ref="AB144:AB147" si="351">IF(T144&gt;0,IF(W144&lt;=$B$13,"OK","No Cumple"),"")</f>
        <v>OK</v>
      </c>
      <c r="AC144" s="147" t="str">
        <f t="shared" ref="AC144:AC147" si="352">IF(T144&gt;0,IF(Z144&gt;=$B$12,"OK","No Cumple"),"")</f>
        <v>OK</v>
      </c>
      <c r="AD144" s="147" t="str">
        <f t="shared" ref="AD144:AD147" si="353">IF(T144&gt;0,IF(AA144&gt;$B$14,"OK","No Cumple"),"")</f>
        <v>OK</v>
      </c>
      <c r="AE144" s="148">
        <f t="shared" ref="AE144:AG147" si="354">+IF(AB144="OK",1,0)</f>
        <v>1</v>
      </c>
      <c r="AF144" s="148">
        <f t="shared" si="354"/>
        <v>1</v>
      </c>
      <c r="AG144" s="148">
        <f t="shared" si="354"/>
        <v>1</v>
      </c>
      <c r="AH144" s="148">
        <f t="shared" ref="AH144:AH147" si="355">SUM(AE144:AG144)</f>
        <v>3</v>
      </c>
      <c r="AI144" s="147">
        <f t="shared" ref="AI144:AI147" si="356">IF(AH144=3,2*$B$7+U144,0)</f>
        <v>0.64500000000000002</v>
      </c>
      <c r="AJ144" s="149">
        <f>IF(AI144&gt;0,I144*VLOOKUP(T144,'$ alcantarillado'!$I$6:$K$22,3),0)</f>
        <v>1792662.5</v>
      </c>
      <c r="AK144" s="149">
        <f t="shared" si="286"/>
        <v>4586675.6250000037</v>
      </c>
      <c r="AL144" s="149">
        <f t="shared" si="287"/>
        <v>2334746.4450000022</v>
      </c>
      <c r="AM144" s="149">
        <f t="shared" si="300"/>
        <v>8714084.5700000059</v>
      </c>
      <c r="AN144" s="164">
        <f>+AP103</f>
        <v>39622131.926333368</v>
      </c>
      <c r="AO144" s="150">
        <f t="shared" ref="AO144:AO146" si="357">IF((AM144)&gt;0,IF(AN144&gt;0,AM144+AN144,""),"")</f>
        <v>48336216.496333376</v>
      </c>
      <c r="AP144" s="218"/>
      <c r="AQ144" s="142"/>
      <c r="AR144" s="165"/>
    </row>
    <row r="145" spans="1:44" x14ac:dyDescent="0.25">
      <c r="A145" s="230"/>
      <c r="B145" s="230"/>
      <c r="C145" s="230"/>
      <c r="D145" s="230"/>
      <c r="E145" s="151">
        <v>3</v>
      </c>
      <c r="F145" s="142">
        <f>+H108</f>
        <v>45.765000000000001</v>
      </c>
      <c r="G145" s="151">
        <v>5</v>
      </c>
      <c r="H145" s="128">
        <f t="shared" ref="H145:I146" si="358">+H144</f>
        <v>44.39</v>
      </c>
      <c r="I145" s="142">
        <f t="shared" si="358"/>
        <v>75</v>
      </c>
      <c r="J145" s="143">
        <f t="shared" si="288"/>
        <v>1.8333333333333333E-2</v>
      </c>
      <c r="K145" s="142">
        <f t="shared" ref="K145:K146" si="359">+K144</f>
        <v>1460</v>
      </c>
      <c r="L145" s="128">
        <f t="shared" si="289"/>
        <v>16.808499999999999</v>
      </c>
      <c r="M145" s="144">
        <f t="shared" si="347"/>
        <v>1.6808499999999997E-2</v>
      </c>
      <c r="N145" s="144">
        <f t="shared" si="176"/>
        <v>0.1259133801470671</v>
      </c>
      <c r="O145" s="144">
        <f t="shared" si="177"/>
        <v>4.9572196908294135</v>
      </c>
      <c r="P145" s="145">
        <f t="shared" si="182"/>
        <v>6</v>
      </c>
      <c r="Q145" s="113">
        <f>IF(O145&gt;0,VLOOKUP(P145,'$ alcantarillado'!$I$5:$L$22,4,FALSE),"0")</f>
        <v>0.14499999999999999</v>
      </c>
      <c r="R145" s="113">
        <f t="shared" si="178"/>
        <v>2.4489802185665068E-2</v>
      </c>
      <c r="S145" s="146">
        <f t="shared" si="179"/>
        <v>0.68634690768709983</v>
      </c>
      <c r="T145" s="145">
        <f>+IF(S145&gt;$B$13,VLOOKUP(P145,'$ alcantarillado'!$I$6:$N$22,5),P145)</f>
        <v>6</v>
      </c>
      <c r="U145" s="113">
        <f>IF(O145&gt;0,VLOOKUP(T145,'$ alcantarillado'!$I$5:$L$22,4),"0")</f>
        <v>0.14499999999999999</v>
      </c>
      <c r="V145" s="113">
        <f t="shared" si="180"/>
        <v>2.4489802185665068E-2</v>
      </c>
      <c r="W145" s="146">
        <f t="shared" si="273"/>
        <v>0.68634690768709983</v>
      </c>
      <c r="X145" s="146">
        <f t="shared" si="348"/>
        <v>1.4830622870644654</v>
      </c>
      <c r="Y145" s="113">
        <f>IF(T145&gt;0,(VLOOKUP($W145,Relaciones!$A$4:$D$108,2)),"")</f>
        <v>0.93600000000000005</v>
      </c>
      <c r="Z145" s="146">
        <f t="shared" si="349"/>
        <v>1.3881463006923398</v>
      </c>
      <c r="AA145" s="146">
        <f t="shared" si="350"/>
        <v>0.6645833333333333</v>
      </c>
      <c r="AB145" s="147" t="str">
        <f t="shared" si="351"/>
        <v>OK</v>
      </c>
      <c r="AC145" s="147" t="str">
        <f t="shared" si="352"/>
        <v>OK</v>
      </c>
      <c r="AD145" s="147" t="str">
        <f t="shared" si="353"/>
        <v>OK</v>
      </c>
      <c r="AE145" s="148">
        <f t="shared" si="354"/>
        <v>1</v>
      </c>
      <c r="AF145" s="148">
        <f t="shared" si="354"/>
        <v>1</v>
      </c>
      <c r="AG145" s="148">
        <f t="shared" si="354"/>
        <v>1</v>
      </c>
      <c r="AH145" s="148">
        <f t="shared" si="355"/>
        <v>3</v>
      </c>
      <c r="AI145" s="147">
        <f t="shared" si="356"/>
        <v>0.64500000000000002</v>
      </c>
      <c r="AJ145" s="149">
        <f>IF(AI145&gt;0,I145*VLOOKUP(T145,'$ alcantarillado'!$I$6:$K$22,3),0)</f>
        <v>1792662.5</v>
      </c>
      <c r="AK145" s="149">
        <f t="shared" si="286"/>
        <v>4695519.3750000037</v>
      </c>
      <c r="AL145" s="149">
        <f t="shared" si="287"/>
        <v>2421994.0700000022</v>
      </c>
      <c r="AM145" s="149">
        <f t="shared" si="300"/>
        <v>8910175.9450000059</v>
      </c>
      <c r="AN145" s="164">
        <f>+AP108</f>
        <v>38630065.45600003</v>
      </c>
      <c r="AO145" s="150">
        <f t="shared" si="357"/>
        <v>47540241.401000038</v>
      </c>
      <c r="AP145" s="219"/>
      <c r="AQ145" s="142">
        <v>3</v>
      </c>
      <c r="AR145" s="165">
        <v>5</v>
      </c>
    </row>
    <row r="146" spans="1:44" x14ac:dyDescent="0.25">
      <c r="A146" s="230"/>
      <c r="B146" s="230"/>
      <c r="C146" s="230"/>
      <c r="D146" s="230"/>
      <c r="E146" s="151">
        <v>4</v>
      </c>
      <c r="F146" s="142">
        <f>+H113</f>
        <v>45.64</v>
      </c>
      <c r="G146" s="151">
        <v>5</v>
      </c>
      <c r="H146" s="128">
        <f t="shared" si="358"/>
        <v>44.39</v>
      </c>
      <c r="I146" s="142">
        <f t="shared" si="358"/>
        <v>75</v>
      </c>
      <c r="J146" s="143">
        <f>+(F146-H146)/I146</f>
        <v>1.6666666666666666E-2</v>
      </c>
      <c r="K146" s="142">
        <f t="shared" si="359"/>
        <v>1460</v>
      </c>
      <c r="L146" s="128">
        <f t="shared" si="289"/>
        <v>16.808499999999999</v>
      </c>
      <c r="M146" s="144">
        <f t="shared" si="347"/>
        <v>1.6808499999999997E-2</v>
      </c>
      <c r="N146" s="144">
        <f t="shared" si="176"/>
        <v>0.12818376137295873</v>
      </c>
      <c r="O146" s="144">
        <f t="shared" si="177"/>
        <v>5.0466047784629424</v>
      </c>
      <c r="P146" s="145">
        <f t="shared" si="182"/>
        <v>6</v>
      </c>
      <c r="Q146" s="113">
        <f>IF(O146&gt;0,VLOOKUP(P146,'$ alcantarillado'!$I$5:$L$22,4,FALSE),"0")</f>
        <v>0.14499999999999999</v>
      </c>
      <c r="R146" s="113">
        <f t="shared" si="178"/>
        <v>2.335011020205658E-2</v>
      </c>
      <c r="S146" s="146">
        <f t="shared" si="179"/>
        <v>0.71984670969645248</v>
      </c>
      <c r="T146" s="145">
        <f>+IF(S146&gt;$B$13,VLOOKUP(P146,'$ alcantarillado'!$I$6:$N$22,5),P146)</f>
        <v>6</v>
      </c>
      <c r="U146" s="113">
        <f>IF(O146&gt;0,VLOOKUP(T146,'$ alcantarillado'!$I$5:$L$22,4),"0")</f>
        <v>0.14499999999999999</v>
      </c>
      <c r="V146" s="113">
        <f t="shared" si="180"/>
        <v>2.335011020205658E-2</v>
      </c>
      <c r="W146" s="146">
        <f t="shared" si="273"/>
        <v>0.71984670969645248</v>
      </c>
      <c r="X146" s="146">
        <f t="shared" si="348"/>
        <v>1.4140444082369752</v>
      </c>
      <c r="Y146" s="113">
        <f>IF(T146&gt;0,(VLOOKUP($W146,Relaciones!$A$4:$D$108,2)),"")</f>
        <v>0.95099999999999996</v>
      </c>
      <c r="Z146" s="146">
        <f t="shared" si="349"/>
        <v>1.3447562322333633</v>
      </c>
      <c r="AA146" s="146">
        <f t="shared" si="350"/>
        <v>0.60416666666666663</v>
      </c>
      <c r="AB146" s="147" t="str">
        <f t="shared" si="351"/>
        <v>OK</v>
      </c>
      <c r="AC146" s="147" t="str">
        <f t="shared" si="352"/>
        <v>OK</v>
      </c>
      <c r="AD146" s="147" t="str">
        <f t="shared" si="353"/>
        <v>OK</v>
      </c>
      <c r="AE146" s="148">
        <f t="shared" si="354"/>
        <v>1</v>
      </c>
      <c r="AF146" s="148">
        <f t="shared" si="354"/>
        <v>1</v>
      </c>
      <c r="AG146" s="148">
        <f t="shared" si="354"/>
        <v>1</v>
      </c>
      <c r="AH146" s="148">
        <f t="shared" si="355"/>
        <v>3</v>
      </c>
      <c r="AI146" s="147">
        <f t="shared" si="356"/>
        <v>0.64500000000000002</v>
      </c>
      <c r="AJ146" s="149">
        <f>IF(AI146&gt;0,I146*VLOOKUP(T146,'$ alcantarillado'!$I$6:$K$22,3),0)</f>
        <v>1792662.5</v>
      </c>
      <c r="AK146" s="149">
        <f t="shared" si="286"/>
        <v>4804363.1250000037</v>
      </c>
      <c r="AL146" s="149">
        <f t="shared" si="287"/>
        <v>2509241.6950000022</v>
      </c>
      <c r="AM146" s="149">
        <f t="shared" si="300"/>
        <v>9106267.3200000059</v>
      </c>
      <c r="AN146" s="164">
        <f>+AP113</f>
        <v>38688115.45600003</v>
      </c>
      <c r="AO146" s="150">
        <f t="shared" si="357"/>
        <v>47794382.776000038</v>
      </c>
      <c r="AP146" s="219"/>
      <c r="AQ146" s="142"/>
      <c r="AR146" s="165"/>
    </row>
    <row r="147" spans="1:44" ht="15.75" thickBot="1" x14ac:dyDescent="0.3">
      <c r="A147" s="231"/>
      <c r="B147" s="231"/>
      <c r="C147" s="231"/>
      <c r="D147" s="231"/>
      <c r="E147" s="152">
        <v>5</v>
      </c>
      <c r="F147" s="153">
        <f>+H118</f>
        <v>45.515000000000001</v>
      </c>
      <c r="G147" s="152">
        <v>5</v>
      </c>
      <c r="H147" s="153">
        <f>+H146</f>
        <v>44.39</v>
      </c>
      <c r="I147" s="154">
        <f>+I146</f>
        <v>75</v>
      </c>
      <c r="J147" s="155">
        <f t="shared" si="288"/>
        <v>1.4999999999999999E-2</v>
      </c>
      <c r="K147" s="154">
        <f>+K146</f>
        <v>1460</v>
      </c>
      <c r="L147" s="153">
        <f t="shared" si="289"/>
        <v>16.808499999999999</v>
      </c>
      <c r="M147" s="156">
        <f t="shared" si="347"/>
        <v>1.6808499999999997E-2</v>
      </c>
      <c r="N147" s="156">
        <f t="shared" si="176"/>
        <v>0.13074122224264353</v>
      </c>
      <c r="O147" s="156">
        <f t="shared" si="177"/>
        <v>5.1472922142773045</v>
      </c>
      <c r="P147" s="157">
        <f t="shared" si="182"/>
        <v>6</v>
      </c>
      <c r="Q147" s="160">
        <f>IF(O147&gt;0,VLOOKUP(P147,'$ alcantarillado'!$I$5:$L$22,4,FALSE),"0")</f>
        <v>0.14499999999999999</v>
      </c>
      <c r="R147" s="160">
        <f t="shared" si="178"/>
        <v>2.2151859556329985E-2</v>
      </c>
      <c r="S147" s="168">
        <f t="shared" si="179"/>
        <v>0.7587850562729348</v>
      </c>
      <c r="T147" s="157">
        <f>+IF(S147&gt;$B$13,VLOOKUP(P147,'$ alcantarillado'!$I$6:$N$22,5),P147)</f>
        <v>6</v>
      </c>
      <c r="U147" s="160">
        <f>IF(O147&gt;0,VLOOKUP(T147,'$ alcantarillado'!$I$5:$L$22,4),"0")</f>
        <v>0.14499999999999999</v>
      </c>
      <c r="V147" s="160">
        <f t="shared" si="180"/>
        <v>2.2151859556329985E-2</v>
      </c>
      <c r="W147" s="169">
        <f t="shared" si="273"/>
        <v>0.7587850562729348</v>
      </c>
      <c r="X147" s="169">
        <f t="shared" si="348"/>
        <v>1.3414803127961406</v>
      </c>
      <c r="Y147" s="160">
        <f>IF(T147&gt;0,(VLOOKUP($W147,Relaciones!$A$4:$D$108,2)),"")</f>
        <v>0.96499999999999997</v>
      </c>
      <c r="Z147" s="169">
        <f t="shared" si="349"/>
        <v>1.2945285018482755</v>
      </c>
      <c r="AA147" s="169">
        <f t="shared" si="350"/>
        <v>0.54374999999999996</v>
      </c>
      <c r="AB147" s="170" t="str">
        <f t="shared" si="351"/>
        <v>OK</v>
      </c>
      <c r="AC147" s="170" t="str">
        <f t="shared" si="352"/>
        <v>OK</v>
      </c>
      <c r="AD147" s="170" t="str">
        <f t="shared" si="353"/>
        <v>OK</v>
      </c>
      <c r="AE147" s="171">
        <f t="shared" si="354"/>
        <v>1</v>
      </c>
      <c r="AF147" s="171">
        <f t="shared" si="354"/>
        <v>1</v>
      </c>
      <c r="AG147" s="171">
        <f t="shared" si="354"/>
        <v>1</v>
      </c>
      <c r="AH147" s="171">
        <f t="shared" si="355"/>
        <v>3</v>
      </c>
      <c r="AI147" s="170">
        <f t="shared" si="356"/>
        <v>0.64500000000000002</v>
      </c>
      <c r="AJ147" s="158">
        <f>IF(AI147&gt;0,I147*VLOOKUP(T147,'$ alcantarillado'!$I$6:$K$22,3),0)</f>
        <v>1792662.5</v>
      </c>
      <c r="AK147" s="158">
        <f t="shared" si="286"/>
        <v>4913206.8750000037</v>
      </c>
      <c r="AL147" s="158">
        <f t="shared" si="287"/>
        <v>2596489.3200000022</v>
      </c>
      <c r="AM147" s="158">
        <f t="shared" si="300"/>
        <v>9302358.6950000059</v>
      </c>
      <c r="AN147" s="167">
        <f>+AP118</f>
        <v>38746165.45600003</v>
      </c>
      <c r="AO147" s="159">
        <f>IF((AM147)&gt;0,IF(AN147&gt;0,AM147+AN147,""),"")</f>
        <v>48048524.151000038</v>
      </c>
      <c r="AP147" s="220"/>
      <c r="AQ147" s="172"/>
      <c r="AR147" s="166"/>
    </row>
    <row r="148" spans="1:44" x14ac:dyDescent="0.25">
      <c r="A148" s="52"/>
      <c r="B148" s="52"/>
      <c r="C148" s="52"/>
      <c r="D148" s="53">
        <v>48.09</v>
      </c>
    </row>
    <row r="149" spans="1:44" x14ac:dyDescent="0.25">
      <c r="A149" s="52"/>
      <c r="B149" s="52"/>
      <c r="C149" s="52"/>
      <c r="AP149" s="83"/>
    </row>
    <row r="150" spans="1:44" ht="15.75" thickBot="1" x14ac:dyDescent="0.3"/>
    <row r="151" spans="1:44" x14ac:dyDescent="0.25">
      <c r="A151" s="229">
        <v>6</v>
      </c>
      <c r="B151" s="229">
        <v>3</v>
      </c>
      <c r="C151" s="229">
        <v>4</v>
      </c>
      <c r="D151" s="229">
        <v>48.83</v>
      </c>
      <c r="E151" s="127">
        <v>1</v>
      </c>
      <c r="F151" s="132">
        <f>+'LOGIKA AN-1'!F151</f>
        <v>47.629999999999995</v>
      </c>
      <c r="G151" s="127">
        <v>1</v>
      </c>
      <c r="H151" s="136">
        <f>+H161+2*$B$15</f>
        <v>47.57</v>
      </c>
      <c r="I151" s="129">
        <v>80</v>
      </c>
      <c r="J151" s="130">
        <f>+(F151-H151)/I151</f>
        <v>7.4999999999993963E-4</v>
      </c>
      <c r="K151" s="138">
        <f>6*H4</f>
        <v>948</v>
      </c>
      <c r="L151" s="132">
        <f>IF(K151&lt;38,K151^0.3686*0.7401,IF(K151&lt;235,K151^0.4193*0.6215,IF(K151&lt;932,K151*0.0092+4.2493,K151*0.0069+6.7345)))</f>
        <v>13.275700000000001</v>
      </c>
      <c r="M151" s="133">
        <f>+L151/1000</f>
        <v>1.32757E-2</v>
      </c>
      <c r="N151" s="133">
        <f t="shared" ref="N151:N200" si="360">+IF(J151&gt;0,((M151*$B$2*(4^(5/3))/((J151^0.5)*PI()*$B$6))^(3/8)),0)</f>
        <v>0.20985960041682264</v>
      </c>
      <c r="O151" s="133">
        <f t="shared" ref="O151:O200" si="361">+N151*(100/2.54)</f>
        <v>8.2621889927882926</v>
      </c>
      <c r="P151" s="134">
        <f t="shared" ref="P151:P200" si="362">IF(O151&lt;0.1,0,IF(O151&lt;4,6,EVEN(O151)))</f>
        <v>10</v>
      </c>
      <c r="Q151" s="135">
        <f>IF(O151&gt;0,VLOOKUP(P151,'$ alcantarillado'!$I$5:$L$22,4,FALSE),"0")</f>
        <v>0.22700000000000001</v>
      </c>
      <c r="R151" s="135">
        <f t="shared" ref="R151:R200" si="363">IF(P151&gt;0,PI()*((Q151)^(8/3))*((J151)^0.5)/($B$2*4^(5/3)),"")</f>
        <v>1.636751715152987E-2</v>
      </c>
      <c r="S151" s="136">
        <f t="shared" ref="S151:S200" si="364">IF(P151&gt;0,+M151/R151,0)</f>
        <v>0.8111004178027772</v>
      </c>
      <c r="T151" s="134">
        <f>+IF(S151&gt;$B$13,VLOOKUP(P151,'$ alcantarillado'!$I$6:$N$22,5),P151)</f>
        <v>10</v>
      </c>
      <c r="U151" s="135">
        <f>IF(O151&gt;0,VLOOKUP(T151,'$ alcantarillado'!$I$5:$L$22,4),"0")</f>
        <v>0.22700000000000001</v>
      </c>
      <c r="V151" s="135">
        <f t="shared" ref="V151:V200" si="365">IF(T151&gt;0,PI()*((U151)^(8/3))*((J151)^0.5)/($B$2*4^(5/3)),"")</f>
        <v>1.636751715152987E-2</v>
      </c>
      <c r="W151" s="136">
        <f t="shared" ref="W151:W182" si="366">IF(T151&gt;0,M151/V151,0)</f>
        <v>0.8111004178027772</v>
      </c>
      <c r="X151" s="136">
        <f>IF(T151&gt;0,4*V151/(PI()*(U151)^2),"")</f>
        <v>0.40442799368237031</v>
      </c>
      <c r="Y151" s="135">
        <f>IF(T151&gt;0,(VLOOKUP($W151,Relaciones!$A$4:$D$108,2)),"")</f>
        <v>0.98699999999999999</v>
      </c>
      <c r="Z151" s="136">
        <f>IF(T151&gt;0,Y151*X151,"")</f>
        <v>0.39917042976449951</v>
      </c>
      <c r="AA151" s="136">
        <f>IF(T151&gt;0,250*U151*J151,"")</f>
        <v>4.2562499999996575E-2</v>
      </c>
      <c r="AB151" s="137" t="str">
        <f>IF(T151&gt;0,IF(W151&lt;=$B$13,"OK","No Cumple"),"")</f>
        <v>OK</v>
      </c>
      <c r="AC151" s="137" t="str">
        <f>IF(T151&gt;0,IF(Z151&gt;=$B$12,"OK","No Cumple"),"")</f>
        <v>No Cumple</v>
      </c>
      <c r="AD151" s="137" t="str">
        <f>IF(T151&gt;0,IF(AA151&gt;$B$14,"OK","No Cumple"),"")</f>
        <v>No Cumple</v>
      </c>
      <c r="AE151" s="138">
        <f>+IF(AB151="OK",1,0)</f>
        <v>1</v>
      </c>
      <c r="AF151" s="138">
        <f>+IF(AC151="OK",1,0)</f>
        <v>0</v>
      </c>
      <c r="AG151" s="138">
        <f>+IF(AD151="OK",1,0)</f>
        <v>0</v>
      </c>
      <c r="AH151" s="138">
        <f>SUM(AE151:AG151)</f>
        <v>1</v>
      </c>
      <c r="AI151" s="137">
        <f>IF(AH151=3,2*$B$7+U151,0)</f>
        <v>0</v>
      </c>
      <c r="AJ151" s="139">
        <f>IF(AI151&gt;0,I151*VLOOKUP(T151,'$ alcantarillado'!$I$6:$K$22,3),0)</f>
        <v>0</v>
      </c>
      <c r="AK151" s="139">
        <f t="shared" ref="AK151:AK175" si="367">IF(N151&gt;0,((($D$151-F151)+(U151))+(($D$176-H151)+(U151))/2)*AI151*I151*$C$9,0)</f>
        <v>0</v>
      </c>
      <c r="AL151" s="139">
        <f t="shared" ref="AL151:AL175" si="368">IF(AI151&gt;0,(($D$151-F151)+U151)*$C$10,0)</f>
        <v>0</v>
      </c>
      <c r="AM151" s="139">
        <f>IF(AJ151&gt;0,AJ151+AK151+AL151,0)</f>
        <v>0</v>
      </c>
      <c r="AN151" s="174">
        <v>0</v>
      </c>
      <c r="AO151" s="140" t="str">
        <f t="shared" ref="AO151:AO175" si="369">IF((AM151+AN151)&gt;0,(AM151+AN151),"")</f>
        <v/>
      </c>
      <c r="AP151" s="217">
        <f>+MIN(AO151:AO155)</f>
        <v>0</v>
      </c>
      <c r="AQ151" s="129"/>
      <c r="AR151" s="163"/>
    </row>
    <row r="152" spans="1:44" x14ac:dyDescent="0.25">
      <c r="A152" s="230"/>
      <c r="B152" s="230"/>
      <c r="C152" s="230"/>
      <c r="D152" s="230"/>
      <c r="E152" s="141">
        <v>2</v>
      </c>
      <c r="F152" s="128">
        <f>+F151-$B$4</f>
        <v>47.129999999999995</v>
      </c>
      <c r="G152" s="141">
        <v>1</v>
      </c>
      <c r="H152" s="146">
        <f>+H151</f>
        <v>47.57</v>
      </c>
      <c r="I152" s="142">
        <f>+I151</f>
        <v>80</v>
      </c>
      <c r="J152" s="143">
        <f t="shared" ref="J152:J175" si="370">+(F152-H152)/I152</f>
        <v>-5.5000000000000604E-3</v>
      </c>
      <c r="K152" s="142">
        <f>+K151</f>
        <v>948</v>
      </c>
      <c r="L152" s="128">
        <f t="shared" ref="L152:L175" si="371">IF(K152&lt;38,K152^0.3686*0.7401,IF(K152&lt;235,K152^0.4193*0.6215,IF(K152&lt;932,K152*0.0092+4.2493,K152*0.0069+6.7345)))</f>
        <v>13.275700000000001</v>
      </c>
      <c r="M152" s="144">
        <f t="shared" ref="M152:M155" si="372">+L152/1000</f>
        <v>1.32757E-2</v>
      </c>
      <c r="N152" s="144">
        <f t="shared" si="360"/>
        <v>0</v>
      </c>
      <c r="O152" s="144">
        <f t="shared" si="361"/>
        <v>0</v>
      </c>
      <c r="P152" s="145">
        <f t="shared" si="362"/>
        <v>0</v>
      </c>
      <c r="Q152" s="113" t="str">
        <f>IF(O152&gt;0,VLOOKUP(P152,'$ alcantarillado'!$I$5:$L$22,4,FALSE),"0")</f>
        <v>0</v>
      </c>
      <c r="R152" s="113" t="str">
        <f t="shared" si="363"/>
        <v/>
      </c>
      <c r="S152" s="146">
        <f t="shared" si="364"/>
        <v>0</v>
      </c>
      <c r="T152" s="145">
        <f>+IF(S152&gt;$B$13,VLOOKUP(P152,'$ alcantarillado'!$I$6:$N$22,5),P152)</f>
        <v>0</v>
      </c>
      <c r="U152" s="113" t="str">
        <f>IF(O152&gt;0,VLOOKUP(T152,'$ alcantarillado'!$I$5:$L$22,4),"0")</f>
        <v>0</v>
      </c>
      <c r="V152" s="113" t="str">
        <f t="shared" si="365"/>
        <v/>
      </c>
      <c r="W152" s="146">
        <f t="shared" si="366"/>
        <v>0</v>
      </c>
      <c r="X152" s="146" t="str">
        <f t="shared" ref="X152:X155" si="373">IF(T152&gt;0,4*V152/(PI()*(U152)^2),"")</f>
        <v/>
      </c>
      <c r="Y152" s="113" t="str">
        <f>IF(T152&gt;0,(VLOOKUP($W152,Relaciones!$A$4:$D$108,2)),"")</f>
        <v/>
      </c>
      <c r="Z152" s="146" t="str">
        <f t="shared" ref="Z152:Z155" si="374">IF(T152&gt;0,Y152*X152,"")</f>
        <v/>
      </c>
      <c r="AA152" s="146" t="str">
        <f t="shared" ref="AA152:AA155" si="375">IF(T152&gt;0,250*U152*J152,"")</f>
        <v/>
      </c>
      <c r="AB152" s="147" t="str">
        <f t="shared" ref="AB152:AB155" si="376">IF(T152&gt;0,IF(W152&lt;=$B$13,"OK","No Cumple"),"")</f>
        <v/>
      </c>
      <c r="AC152" s="147" t="str">
        <f t="shared" ref="AC152:AC155" si="377">IF(T152&gt;0,IF(Z152&gt;=$B$12,"OK","No Cumple"),"")</f>
        <v/>
      </c>
      <c r="AD152" s="147" t="str">
        <f t="shared" ref="AD152:AD155" si="378">IF(T152&gt;0,IF(AA152&gt;$B$14,"OK","No Cumple"),"")</f>
        <v/>
      </c>
      <c r="AE152" s="148">
        <f t="shared" ref="AE152:AG155" si="379">+IF(AB152="OK",1,0)</f>
        <v>0</v>
      </c>
      <c r="AF152" s="148">
        <f t="shared" si="379"/>
        <v>0</v>
      </c>
      <c r="AG152" s="148">
        <f t="shared" si="379"/>
        <v>0</v>
      </c>
      <c r="AH152" s="148">
        <f t="shared" ref="AH152:AH155" si="380">SUM(AE152:AG152)</f>
        <v>0</v>
      </c>
      <c r="AI152" s="147">
        <f t="shared" ref="AI152:AI155" si="381">IF(AH152=3,2*$B$7+U152,0)</f>
        <v>0</v>
      </c>
      <c r="AJ152" s="149">
        <f>IF(AI152&gt;0,I152*VLOOKUP(T152,'$ alcantarillado'!$I$6:$K$22,3),0)</f>
        <v>0</v>
      </c>
      <c r="AK152" s="149">
        <f t="shared" si="367"/>
        <v>0</v>
      </c>
      <c r="AL152" s="149">
        <f t="shared" si="368"/>
        <v>0</v>
      </c>
      <c r="AM152" s="149">
        <f t="shared" ref="AM152:AM175" si="382">IF(AJ152&gt;0,AJ152+AK152+AL152,0)</f>
        <v>0</v>
      </c>
      <c r="AN152" s="175">
        <v>0</v>
      </c>
      <c r="AO152" s="150" t="str">
        <f t="shared" si="369"/>
        <v/>
      </c>
      <c r="AP152" s="218"/>
      <c r="AQ152" s="142"/>
      <c r="AR152" s="165"/>
    </row>
    <row r="153" spans="1:44" x14ac:dyDescent="0.25">
      <c r="A153" s="230"/>
      <c r="B153" s="230"/>
      <c r="C153" s="230"/>
      <c r="D153" s="230"/>
      <c r="E153" s="151">
        <v>3</v>
      </c>
      <c r="F153" s="128">
        <f>+F152-$B$4</f>
        <v>46.629999999999995</v>
      </c>
      <c r="G153" s="151">
        <v>1</v>
      </c>
      <c r="H153" s="142">
        <f t="shared" ref="H153:I154" si="383">+H152</f>
        <v>47.57</v>
      </c>
      <c r="I153" s="142">
        <f t="shared" si="383"/>
        <v>80</v>
      </c>
      <c r="J153" s="143">
        <f t="shared" si="370"/>
        <v>-1.1750000000000061E-2</v>
      </c>
      <c r="K153" s="142">
        <f t="shared" ref="K153:K154" si="384">+K152</f>
        <v>948</v>
      </c>
      <c r="L153" s="128">
        <f t="shared" si="371"/>
        <v>13.275700000000001</v>
      </c>
      <c r="M153" s="144">
        <f t="shared" si="372"/>
        <v>1.32757E-2</v>
      </c>
      <c r="N153" s="144">
        <f t="shared" si="360"/>
        <v>0</v>
      </c>
      <c r="O153" s="144">
        <f t="shared" si="361"/>
        <v>0</v>
      </c>
      <c r="P153" s="145">
        <f t="shared" si="362"/>
        <v>0</v>
      </c>
      <c r="Q153" s="113" t="str">
        <f>IF(O153&gt;0,VLOOKUP(P153,'$ alcantarillado'!$I$5:$L$22,4,FALSE),"0")</f>
        <v>0</v>
      </c>
      <c r="R153" s="113" t="str">
        <f t="shared" si="363"/>
        <v/>
      </c>
      <c r="S153" s="146">
        <f t="shared" si="364"/>
        <v>0</v>
      </c>
      <c r="T153" s="145">
        <f>+IF(S153&gt;$B$13,VLOOKUP(P153,'$ alcantarillado'!$I$6:$N$22,5),P153)</f>
        <v>0</v>
      </c>
      <c r="U153" s="113" t="str">
        <f>IF(O153&gt;0,VLOOKUP(T153,'$ alcantarillado'!$I$5:$L$22,4),"0")</f>
        <v>0</v>
      </c>
      <c r="V153" s="113" t="str">
        <f t="shared" si="365"/>
        <v/>
      </c>
      <c r="W153" s="146">
        <f t="shared" si="366"/>
        <v>0</v>
      </c>
      <c r="X153" s="146" t="str">
        <f t="shared" si="373"/>
        <v/>
      </c>
      <c r="Y153" s="113" t="str">
        <f>IF(T153&gt;0,(VLOOKUP($W153,Relaciones!$A$4:$D$108,2)),"")</f>
        <v/>
      </c>
      <c r="Z153" s="146" t="str">
        <f t="shared" si="374"/>
        <v/>
      </c>
      <c r="AA153" s="146" t="str">
        <f t="shared" si="375"/>
        <v/>
      </c>
      <c r="AB153" s="147" t="str">
        <f t="shared" si="376"/>
        <v/>
      </c>
      <c r="AC153" s="147" t="str">
        <f t="shared" si="377"/>
        <v/>
      </c>
      <c r="AD153" s="147" t="str">
        <f t="shared" si="378"/>
        <v/>
      </c>
      <c r="AE153" s="148">
        <f t="shared" si="379"/>
        <v>0</v>
      </c>
      <c r="AF153" s="148">
        <f t="shared" si="379"/>
        <v>0</v>
      </c>
      <c r="AG153" s="148">
        <f t="shared" si="379"/>
        <v>0</v>
      </c>
      <c r="AH153" s="148">
        <f t="shared" si="380"/>
        <v>0</v>
      </c>
      <c r="AI153" s="147">
        <f t="shared" si="381"/>
        <v>0</v>
      </c>
      <c r="AJ153" s="149">
        <f>IF(AI153&gt;0,I153*VLOOKUP(T153,'$ alcantarillado'!$I$6:$K$22,3),0)</f>
        <v>0</v>
      </c>
      <c r="AK153" s="149">
        <f t="shared" si="367"/>
        <v>0</v>
      </c>
      <c r="AL153" s="149">
        <f t="shared" si="368"/>
        <v>0</v>
      </c>
      <c r="AM153" s="149">
        <f t="shared" si="382"/>
        <v>0</v>
      </c>
      <c r="AN153" s="175">
        <v>0</v>
      </c>
      <c r="AO153" s="150" t="str">
        <f t="shared" si="369"/>
        <v/>
      </c>
      <c r="AP153" s="219"/>
      <c r="AQ153" s="142"/>
      <c r="AR153" s="165"/>
    </row>
    <row r="154" spans="1:44" x14ac:dyDescent="0.25">
      <c r="A154" s="230"/>
      <c r="B154" s="230"/>
      <c r="C154" s="230"/>
      <c r="D154" s="230"/>
      <c r="E154" s="151">
        <v>4</v>
      </c>
      <c r="F154" s="128">
        <f>+F153-$B$4</f>
        <v>46.129999999999995</v>
      </c>
      <c r="G154" s="151">
        <v>1</v>
      </c>
      <c r="H154" s="142">
        <f t="shared" si="383"/>
        <v>47.57</v>
      </c>
      <c r="I154" s="142">
        <f t="shared" si="383"/>
        <v>80</v>
      </c>
      <c r="J154" s="143">
        <f>+(F154-H154)/I154</f>
        <v>-1.8000000000000061E-2</v>
      </c>
      <c r="K154" s="142">
        <f t="shared" si="384"/>
        <v>948</v>
      </c>
      <c r="L154" s="128">
        <f t="shared" si="371"/>
        <v>13.275700000000001</v>
      </c>
      <c r="M154" s="144">
        <f t="shared" si="372"/>
        <v>1.32757E-2</v>
      </c>
      <c r="N154" s="144">
        <f t="shared" si="360"/>
        <v>0</v>
      </c>
      <c r="O154" s="144">
        <f t="shared" si="361"/>
        <v>0</v>
      </c>
      <c r="P154" s="145">
        <f t="shared" si="362"/>
        <v>0</v>
      </c>
      <c r="Q154" s="113" t="str">
        <f>IF(O154&gt;0,VLOOKUP(P154,'$ alcantarillado'!$I$5:$L$22,4,FALSE),"0")</f>
        <v>0</v>
      </c>
      <c r="R154" s="113" t="str">
        <f t="shared" si="363"/>
        <v/>
      </c>
      <c r="S154" s="146">
        <f t="shared" si="364"/>
        <v>0</v>
      </c>
      <c r="T154" s="145">
        <f>+IF(S154&gt;$B$13,VLOOKUP(P154,'$ alcantarillado'!$I$6:$N$22,5),P154)</f>
        <v>0</v>
      </c>
      <c r="U154" s="113" t="str">
        <f>IF(O154&gt;0,VLOOKUP(T154,'$ alcantarillado'!$I$5:$L$22,4),"0")</f>
        <v>0</v>
      </c>
      <c r="V154" s="113" t="str">
        <f t="shared" si="365"/>
        <v/>
      </c>
      <c r="W154" s="146">
        <f t="shared" si="366"/>
        <v>0</v>
      </c>
      <c r="X154" s="146" t="str">
        <f t="shared" si="373"/>
        <v/>
      </c>
      <c r="Y154" s="113" t="str">
        <f>IF(T154&gt;0,(VLOOKUP($W154,Relaciones!$A$4:$D$108,2)),"")</f>
        <v/>
      </c>
      <c r="Z154" s="146" t="str">
        <f t="shared" si="374"/>
        <v/>
      </c>
      <c r="AA154" s="146" t="str">
        <f t="shared" si="375"/>
        <v/>
      </c>
      <c r="AB154" s="147" t="str">
        <f t="shared" si="376"/>
        <v/>
      </c>
      <c r="AC154" s="147" t="str">
        <f t="shared" si="377"/>
        <v/>
      </c>
      <c r="AD154" s="147" t="str">
        <f t="shared" si="378"/>
        <v/>
      </c>
      <c r="AE154" s="148">
        <f t="shared" si="379"/>
        <v>0</v>
      </c>
      <c r="AF154" s="148">
        <f t="shared" si="379"/>
        <v>0</v>
      </c>
      <c r="AG154" s="148">
        <f t="shared" si="379"/>
        <v>0</v>
      </c>
      <c r="AH154" s="148">
        <f t="shared" si="380"/>
        <v>0</v>
      </c>
      <c r="AI154" s="147">
        <f t="shared" si="381"/>
        <v>0</v>
      </c>
      <c r="AJ154" s="149">
        <f>IF(AI154&gt;0,I154*VLOOKUP(T154,'$ alcantarillado'!$I$6:$K$22,3),0)</f>
        <v>0</v>
      </c>
      <c r="AK154" s="149">
        <f t="shared" si="367"/>
        <v>0</v>
      </c>
      <c r="AL154" s="149">
        <f t="shared" si="368"/>
        <v>0</v>
      </c>
      <c r="AM154" s="149">
        <f t="shared" si="382"/>
        <v>0</v>
      </c>
      <c r="AN154" s="175">
        <v>0</v>
      </c>
      <c r="AO154" s="150" t="str">
        <f t="shared" si="369"/>
        <v/>
      </c>
      <c r="AP154" s="219"/>
      <c r="AQ154" s="142"/>
      <c r="AR154" s="165"/>
    </row>
    <row r="155" spans="1:44" ht="15.75" thickBot="1" x14ac:dyDescent="0.3">
      <c r="A155" s="230"/>
      <c r="B155" s="230"/>
      <c r="C155" s="230"/>
      <c r="D155" s="230"/>
      <c r="E155" s="152">
        <v>5</v>
      </c>
      <c r="F155" s="153">
        <f>+F154-$B$4</f>
        <v>45.629999999999995</v>
      </c>
      <c r="G155" s="152">
        <v>1</v>
      </c>
      <c r="H155" s="154">
        <f>+H154</f>
        <v>47.57</v>
      </c>
      <c r="I155" s="154">
        <f>+I154</f>
        <v>80</v>
      </c>
      <c r="J155" s="155">
        <f t="shared" si="370"/>
        <v>-2.425000000000006E-2</v>
      </c>
      <c r="K155" s="154">
        <f>+K154</f>
        <v>948</v>
      </c>
      <c r="L155" s="153">
        <f t="shared" si="371"/>
        <v>13.275700000000001</v>
      </c>
      <c r="M155" s="156">
        <f t="shared" si="372"/>
        <v>1.32757E-2</v>
      </c>
      <c r="N155" s="156">
        <f t="shared" si="360"/>
        <v>0</v>
      </c>
      <c r="O155" s="156">
        <f t="shared" si="361"/>
        <v>0</v>
      </c>
      <c r="P155" s="157">
        <f t="shared" si="362"/>
        <v>0</v>
      </c>
      <c r="Q155" s="113" t="str">
        <f>IF(O155&gt;0,VLOOKUP(P155,'$ alcantarillado'!$I$5:$L$22,4,FALSE),"0")</f>
        <v>0</v>
      </c>
      <c r="R155" s="113" t="str">
        <f t="shared" si="363"/>
        <v/>
      </c>
      <c r="S155" s="146">
        <f t="shared" si="364"/>
        <v>0</v>
      </c>
      <c r="T155" s="145">
        <f>+IF(S155&gt;$B$13,VLOOKUP(P155,'$ alcantarillado'!$I$6:$N$22,5),P155)</f>
        <v>0</v>
      </c>
      <c r="U155" s="113" t="str">
        <f>IF(O155&gt;0,VLOOKUP(T155,'$ alcantarillado'!$I$5:$L$22,4),"0")</f>
        <v>0</v>
      </c>
      <c r="V155" s="113" t="str">
        <f t="shared" si="365"/>
        <v/>
      </c>
      <c r="W155" s="146">
        <f t="shared" si="366"/>
        <v>0</v>
      </c>
      <c r="X155" s="146" t="str">
        <f t="shared" si="373"/>
        <v/>
      </c>
      <c r="Y155" s="113" t="str">
        <f>IF(T155&gt;0,(VLOOKUP($W155,Relaciones!$A$4:$D$108,2)),"")</f>
        <v/>
      </c>
      <c r="Z155" s="146" t="str">
        <f t="shared" si="374"/>
        <v/>
      </c>
      <c r="AA155" s="146" t="str">
        <f t="shared" si="375"/>
        <v/>
      </c>
      <c r="AB155" s="147" t="str">
        <f t="shared" si="376"/>
        <v/>
      </c>
      <c r="AC155" s="147" t="str">
        <f t="shared" si="377"/>
        <v/>
      </c>
      <c r="AD155" s="147" t="str">
        <f t="shared" si="378"/>
        <v/>
      </c>
      <c r="AE155" s="148">
        <f t="shared" si="379"/>
        <v>0</v>
      </c>
      <c r="AF155" s="148">
        <f t="shared" si="379"/>
        <v>0</v>
      </c>
      <c r="AG155" s="148">
        <f t="shared" si="379"/>
        <v>0</v>
      </c>
      <c r="AH155" s="148">
        <f t="shared" si="380"/>
        <v>0</v>
      </c>
      <c r="AI155" s="147">
        <f t="shared" si="381"/>
        <v>0</v>
      </c>
      <c r="AJ155" s="158">
        <f>IF(AI155&gt;0,I155*VLOOKUP(T155,'$ alcantarillado'!$I$6:$K$22,3),0)</f>
        <v>0</v>
      </c>
      <c r="AK155" s="149">
        <f t="shared" si="367"/>
        <v>0</v>
      </c>
      <c r="AL155" s="149">
        <f t="shared" si="368"/>
        <v>0</v>
      </c>
      <c r="AM155" s="158">
        <f t="shared" si="382"/>
        <v>0</v>
      </c>
      <c r="AN155" s="175">
        <v>0</v>
      </c>
      <c r="AO155" s="159" t="str">
        <f t="shared" si="369"/>
        <v/>
      </c>
      <c r="AP155" s="220"/>
      <c r="AQ155" s="154"/>
      <c r="AR155" s="166"/>
    </row>
    <row r="156" spans="1:44" x14ac:dyDescent="0.25">
      <c r="A156" s="230"/>
      <c r="B156" s="230"/>
      <c r="C156" s="230"/>
      <c r="D156" s="230"/>
      <c r="E156" s="127">
        <v>1</v>
      </c>
      <c r="F156" s="132">
        <f>+$D$151-$B$5</f>
        <v>47.629999999999995</v>
      </c>
      <c r="G156" s="127">
        <v>2</v>
      </c>
      <c r="H156" s="146">
        <f>+H161+$B$15</f>
        <v>47.445</v>
      </c>
      <c r="I156" s="142">
        <f>+I155</f>
        <v>80</v>
      </c>
      <c r="J156" s="143">
        <f>+(F156-H156)/I156</f>
        <v>2.3124999999999396E-3</v>
      </c>
      <c r="K156" s="142">
        <f>+K155</f>
        <v>948</v>
      </c>
      <c r="L156" s="132">
        <f>IF(K156&lt;38,K156^0.3686*0.7401,IF(K156&lt;235,K156^0.4193*0.6215,IF(K156&lt;932,K156*0.0092+4.2493,K156*0.0069+6.7345)))</f>
        <v>13.275700000000001</v>
      </c>
      <c r="M156" s="133">
        <f>+L156/1000</f>
        <v>1.32757E-2</v>
      </c>
      <c r="N156" s="133">
        <f t="shared" si="360"/>
        <v>0.16991726224424075</v>
      </c>
      <c r="O156" s="133">
        <f t="shared" si="361"/>
        <v>6.6896559938677465</v>
      </c>
      <c r="P156" s="134">
        <f t="shared" si="362"/>
        <v>8</v>
      </c>
      <c r="Q156" s="135">
        <f>IF(O156&gt;0,VLOOKUP(P156,'$ alcantarillado'!$I$5:$L$22,4,FALSE),"0")</f>
        <v>0.182</v>
      </c>
      <c r="R156" s="135">
        <f t="shared" si="363"/>
        <v>1.5944630491471507E-2</v>
      </c>
      <c r="S156" s="136">
        <f t="shared" si="364"/>
        <v>0.8326125843493789</v>
      </c>
      <c r="T156" s="134">
        <f>+IF(S156&gt;$B$13,VLOOKUP(P156,'$ alcantarillado'!$I$6:$N$22,5),P156)</f>
        <v>8</v>
      </c>
      <c r="U156" s="135">
        <f>IF(O156&gt;0,VLOOKUP(T156,'$ alcantarillado'!$I$5:$L$22,4),"0")</f>
        <v>0.182</v>
      </c>
      <c r="V156" s="135">
        <f t="shared" si="365"/>
        <v>1.5944630491471507E-2</v>
      </c>
      <c r="W156" s="136">
        <f t="shared" si="366"/>
        <v>0.8326125843493789</v>
      </c>
      <c r="X156" s="136">
        <f>IF(T156&gt;0,4*V156/(PI()*(U156)^2),"")</f>
        <v>0.61288896473649246</v>
      </c>
      <c r="Y156" s="135">
        <f>IF(T156&gt;0,(VLOOKUP($W156,Relaciones!$A$4:$D$108,2)),"")</f>
        <v>0.99299999999999999</v>
      </c>
      <c r="Z156" s="136">
        <f>IF(T156&gt;0,Y156*X156,"")</f>
        <v>0.60859874198333697</v>
      </c>
      <c r="AA156" s="136">
        <f>IF(T156&gt;0,250*U156*J156,"")</f>
        <v>0.10521874999999725</v>
      </c>
      <c r="AB156" s="137" t="str">
        <f>IF(T156&gt;0,IF(W156&lt;=$B$13,"OK","No Cumple"),"")</f>
        <v>OK</v>
      </c>
      <c r="AC156" s="137" t="str">
        <f>IF(T156&gt;0,IF(Z156&gt;=$B$12,"OK","No Cumple"),"")</f>
        <v>OK</v>
      </c>
      <c r="AD156" s="137" t="str">
        <f>IF(T156&gt;0,IF(AA156&gt;$B$14,"OK","No Cumple"),"")</f>
        <v>No Cumple</v>
      </c>
      <c r="AE156" s="138">
        <f>+IF(AB156="OK",1,0)</f>
        <v>1</v>
      </c>
      <c r="AF156" s="138">
        <f>+IF(AC156="OK",1,0)</f>
        <v>1</v>
      </c>
      <c r="AG156" s="138">
        <f>+IF(AD156="OK",1,0)</f>
        <v>0</v>
      </c>
      <c r="AH156" s="138">
        <f>SUM(AE156:AG156)</f>
        <v>2</v>
      </c>
      <c r="AI156" s="137">
        <f>IF(AH156=3,2*$B$7+U156,0)</f>
        <v>0</v>
      </c>
      <c r="AJ156" s="139">
        <f>IF(AI156&gt;0,I156*VLOOKUP(T156,'$ alcantarillado'!$I$6:$K$22,3),0)</f>
        <v>0</v>
      </c>
      <c r="AK156" s="139">
        <f t="shared" si="367"/>
        <v>0</v>
      </c>
      <c r="AL156" s="139">
        <f t="shared" si="368"/>
        <v>0</v>
      </c>
      <c r="AM156" s="139">
        <f>IF(AJ156&gt;0,AJ156+AK156+AL156,0)</f>
        <v>0</v>
      </c>
      <c r="AN156" s="174">
        <v>0</v>
      </c>
      <c r="AO156" s="140" t="str">
        <f t="shared" si="369"/>
        <v/>
      </c>
      <c r="AP156" s="217">
        <f>+MIN(AO156:AO160)</f>
        <v>0</v>
      </c>
      <c r="AQ156" s="142"/>
      <c r="AR156" s="165"/>
    </row>
    <row r="157" spans="1:44" x14ac:dyDescent="0.25">
      <c r="A157" s="230"/>
      <c r="B157" s="230"/>
      <c r="C157" s="230"/>
      <c r="D157" s="230"/>
      <c r="E157" s="141">
        <v>2</v>
      </c>
      <c r="F157" s="128">
        <f>+F156-$B$4</f>
        <v>47.129999999999995</v>
      </c>
      <c r="G157" s="141">
        <v>2</v>
      </c>
      <c r="H157" s="146">
        <f>+H156</f>
        <v>47.445</v>
      </c>
      <c r="I157" s="142">
        <f>+I156</f>
        <v>80</v>
      </c>
      <c r="J157" s="143">
        <f t="shared" si="370"/>
        <v>-3.9375000000000607E-3</v>
      </c>
      <c r="K157" s="142">
        <f>+K156</f>
        <v>948</v>
      </c>
      <c r="L157" s="128">
        <f t="shared" si="371"/>
        <v>13.275700000000001</v>
      </c>
      <c r="M157" s="144">
        <f t="shared" ref="M157:M160" si="385">+L157/1000</f>
        <v>1.32757E-2</v>
      </c>
      <c r="N157" s="144">
        <f t="shared" si="360"/>
        <v>0</v>
      </c>
      <c r="O157" s="144">
        <f t="shared" si="361"/>
        <v>0</v>
      </c>
      <c r="P157" s="145">
        <f t="shared" si="362"/>
        <v>0</v>
      </c>
      <c r="Q157" s="113" t="str">
        <f>IF(O157&gt;0,VLOOKUP(P157,'$ alcantarillado'!$I$5:$L$22,4,FALSE),"0")</f>
        <v>0</v>
      </c>
      <c r="R157" s="113" t="str">
        <f t="shared" si="363"/>
        <v/>
      </c>
      <c r="S157" s="146">
        <f t="shared" si="364"/>
        <v>0</v>
      </c>
      <c r="T157" s="145">
        <f>+IF(S157&gt;$B$13,VLOOKUP(P157,'$ alcantarillado'!$I$6:$N$22,5),P157)</f>
        <v>0</v>
      </c>
      <c r="U157" s="113" t="str">
        <f>IF(O157&gt;0,VLOOKUP(T157,'$ alcantarillado'!$I$5:$L$22,4),"0")</f>
        <v>0</v>
      </c>
      <c r="V157" s="113" t="str">
        <f t="shared" si="365"/>
        <v/>
      </c>
      <c r="W157" s="146">
        <f t="shared" si="366"/>
        <v>0</v>
      </c>
      <c r="X157" s="146" t="str">
        <f t="shared" ref="X157:X160" si="386">IF(T157&gt;0,4*V157/(PI()*(U157)^2),"")</f>
        <v/>
      </c>
      <c r="Y157" s="113" t="str">
        <f>IF(T157&gt;0,(VLOOKUP($W157,Relaciones!$A$4:$D$108,2)),"")</f>
        <v/>
      </c>
      <c r="Z157" s="146" t="str">
        <f t="shared" ref="Z157:Z160" si="387">IF(T157&gt;0,Y157*X157,"")</f>
        <v/>
      </c>
      <c r="AA157" s="146" t="str">
        <f t="shared" ref="AA157:AA160" si="388">IF(T157&gt;0,250*U157*J157,"")</f>
        <v/>
      </c>
      <c r="AB157" s="147" t="str">
        <f t="shared" ref="AB157:AB160" si="389">IF(T157&gt;0,IF(W157&lt;=$B$13,"OK","No Cumple"),"")</f>
        <v/>
      </c>
      <c r="AC157" s="147" t="str">
        <f t="shared" ref="AC157:AC160" si="390">IF(T157&gt;0,IF(Z157&gt;=$B$12,"OK","No Cumple"),"")</f>
        <v/>
      </c>
      <c r="AD157" s="147" t="str">
        <f t="shared" ref="AD157:AD160" si="391">IF(T157&gt;0,IF(AA157&gt;$B$14,"OK","No Cumple"),"")</f>
        <v/>
      </c>
      <c r="AE157" s="148">
        <f t="shared" ref="AE157:AG160" si="392">+IF(AB157="OK",1,0)</f>
        <v>0</v>
      </c>
      <c r="AF157" s="148">
        <f t="shared" si="392"/>
        <v>0</v>
      </c>
      <c r="AG157" s="148">
        <f t="shared" si="392"/>
        <v>0</v>
      </c>
      <c r="AH157" s="148">
        <f t="shared" ref="AH157:AH160" si="393">SUM(AE157:AG157)</f>
        <v>0</v>
      </c>
      <c r="AI157" s="147">
        <f t="shared" ref="AI157:AI160" si="394">IF(AH157=3,2*$B$7+U157,0)</f>
        <v>0</v>
      </c>
      <c r="AJ157" s="149">
        <f>IF(AI157&gt;0,I157*VLOOKUP(T157,'$ alcantarillado'!$I$6:$K$22,3),0)</f>
        <v>0</v>
      </c>
      <c r="AK157" s="149">
        <f t="shared" si="367"/>
        <v>0</v>
      </c>
      <c r="AL157" s="149">
        <f t="shared" si="368"/>
        <v>0</v>
      </c>
      <c r="AM157" s="149">
        <f t="shared" si="382"/>
        <v>0</v>
      </c>
      <c r="AN157" s="175">
        <v>0</v>
      </c>
      <c r="AO157" s="150" t="str">
        <f t="shared" si="369"/>
        <v/>
      </c>
      <c r="AP157" s="218"/>
      <c r="AQ157" s="142"/>
      <c r="AR157" s="165"/>
    </row>
    <row r="158" spans="1:44" x14ac:dyDescent="0.25">
      <c r="A158" s="230"/>
      <c r="B158" s="230"/>
      <c r="C158" s="230"/>
      <c r="D158" s="230"/>
      <c r="E158" s="151">
        <v>3</v>
      </c>
      <c r="F158" s="128">
        <f t="shared" ref="F158:F160" si="395">+F157-$B$4</f>
        <v>46.629999999999995</v>
      </c>
      <c r="G158" s="151">
        <v>2</v>
      </c>
      <c r="H158" s="146">
        <f t="shared" ref="H158:I159" si="396">+H157</f>
        <v>47.445</v>
      </c>
      <c r="I158" s="142">
        <f t="shared" si="396"/>
        <v>80</v>
      </c>
      <c r="J158" s="143">
        <f t="shared" si="370"/>
        <v>-1.0187500000000061E-2</v>
      </c>
      <c r="K158" s="142">
        <f t="shared" ref="K158:K159" si="397">+K157</f>
        <v>948</v>
      </c>
      <c r="L158" s="128">
        <f t="shared" si="371"/>
        <v>13.275700000000001</v>
      </c>
      <c r="M158" s="144">
        <f t="shared" si="385"/>
        <v>1.32757E-2</v>
      </c>
      <c r="N158" s="144">
        <f t="shared" si="360"/>
        <v>0</v>
      </c>
      <c r="O158" s="144">
        <f t="shared" si="361"/>
        <v>0</v>
      </c>
      <c r="P158" s="145">
        <f t="shared" si="362"/>
        <v>0</v>
      </c>
      <c r="Q158" s="113" t="str">
        <f>IF(O158&gt;0,VLOOKUP(P158,'$ alcantarillado'!$I$5:$L$22,4,FALSE),"0")</f>
        <v>0</v>
      </c>
      <c r="R158" s="113" t="str">
        <f t="shared" si="363"/>
        <v/>
      </c>
      <c r="S158" s="146">
        <f t="shared" si="364"/>
        <v>0</v>
      </c>
      <c r="T158" s="145">
        <f>+IF(S158&gt;$B$13,VLOOKUP(P158,'$ alcantarillado'!$I$6:$N$22,5),P158)</f>
        <v>0</v>
      </c>
      <c r="U158" s="113" t="str">
        <f>IF(O158&gt;0,VLOOKUP(T158,'$ alcantarillado'!$I$5:$L$22,4),"0")</f>
        <v>0</v>
      </c>
      <c r="V158" s="113" t="str">
        <f t="shared" si="365"/>
        <v/>
      </c>
      <c r="W158" s="146">
        <f t="shared" si="366"/>
        <v>0</v>
      </c>
      <c r="X158" s="146" t="str">
        <f t="shared" si="386"/>
        <v/>
      </c>
      <c r="Y158" s="113" t="str">
        <f>IF(T158&gt;0,(VLOOKUP($W158,Relaciones!$A$4:$D$108,2)),"")</f>
        <v/>
      </c>
      <c r="Z158" s="146" t="str">
        <f t="shared" si="387"/>
        <v/>
      </c>
      <c r="AA158" s="146" t="str">
        <f t="shared" si="388"/>
        <v/>
      </c>
      <c r="AB158" s="147" t="str">
        <f t="shared" si="389"/>
        <v/>
      </c>
      <c r="AC158" s="147" t="str">
        <f t="shared" si="390"/>
        <v/>
      </c>
      <c r="AD158" s="147" t="str">
        <f t="shared" si="391"/>
        <v/>
      </c>
      <c r="AE158" s="148">
        <f t="shared" si="392"/>
        <v>0</v>
      </c>
      <c r="AF158" s="148">
        <f t="shared" si="392"/>
        <v>0</v>
      </c>
      <c r="AG158" s="148">
        <f t="shared" si="392"/>
        <v>0</v>
      </c>
      <c r="AH158" s="148">
        <f t="shared" si="393"/>
        <v>0</v>
      </c>
      <c r="AI158" s="147">
        <f t="shared" si="394"/>
        <v>0</v>
      </c>
      <c r="AJ158" s="149">
        <f>IF(AI158&gt;0,I158*VLOOKUP(T158,'$ alcantarillado'!$I$6:$K$22,3),0)</f>
        <v>0</v>
      </c>
      <c r="AK158" s="149">
        <f t="shared" si="367"/>
        <v>0</v>
      </c>
      <c r="AL158" s="149">
        <f t="shared" si="368"/>
        <v>0</v>
      </c>
      <c r="AM158" s="149">
        <f t="shared" si="382"/>
        <v>0</v>
      </c>
      <c r="AN158" s="175">
        <v>0</v>
      </c>
      <c r="AO158" s="150" t="str">
        <f t="shared" si="369"/>
        <v/>
      </c>
      <c r="AP158" s="219"/>
      <c r="AQ158" s="142"/>
      <c r="AR158" s="165"/>
    </row>
    <row r="159" spans="1:44" x14ac:dyDescent="0.25">
      <c r="A159" s="230"/>
      <c r="B159" s="230"/>
      <c r="C159" s="230"/>
      <c r="D159" s="230"/>
      <c r="E159" s="151">
        <v>4</v>
      </c>
      <c r="F159" s="128">
        <f t="shared" si="395"/>
        <v>46.129999999999995</v>
      </c>
      <c r="G159" s="151">
        <v>2</v>
      </c>
      <c r="H159" s="146">
        <f t="shared" si="396"/>
        <v>47.445</v>
      </c>
      <c r="I159" s="142">
        <f t="shared" si="396"/>
        <v>80</v>
      </c>
      <c r="J159" s="143">
        <f>+(F159-H159)/I159</f>
        <v>-1.643750000000006E-2</v>
      </c>
      <c r="K159" s="142">
        <f t="shared" si="397"/>
        <v>948</v>
      </c>
      <c r="L159" s="128">
        <f t="shared" si="371"/>
        <v>13.275700000000001</v>
      </c>
      <c r="M159" s="144">
        <f t="shared" si="385"/>
        <v>1.32757E-2</v>
      </c>
      <c r="N159" s="144">
        <f t="shared" si="360"/>
        <v>0</v>
      </c>
      <c r="O159" s="144">
        <f t="shared" si="361"/>
        <v>0</v>
      </c>
      <c r="P159" s="145">
        <f t="shared" si="362"/>
        <v>0</v>
      </c>
      <c r="Q159" s="113" t="str">
        <f>IF(O159&gt;0,VLOOKUP(P159,'$ alcantarillado'!$I$5:$L$22,4,FALSE),"0")</f>
        <v>0</v>
      </c>
      <c r="R159" s="113" t="str">
        <f t="shared" si="363"/>
        <v/>
      </c>
      <c r="S159" s="146">
        <f t="shared" si="364"/>
        <v>0</v>
      </c>
      <c r="T159" s="145">
        <f>+IF(S159&gt;$B$13,VLOOKUP(P159,'$ alcantarillado'!$I$6:$N$22,5),P159)</f>
        <v>0</v>
      </c>
      <c r="U159" s="113" t="str">
        <f>IF(O159&gt;0,VLOOKUP(T159,'$ alcantarillado'!$I$5:$L$22,4),"0")</f>
        <v>0</v>
      </c>
      <c r="V159" s="113" t="str">
        <f t="shared" si="365"/>
        <v/>
      </c>
      <c r="W159" s="146">
        <f t="shared" si="366"/>
        <v>0</v>
      </c>
      <c r="X159" s="146" t="str">
        <f t="shared" si="386"/>
        <v/>
      </c>
      <c r="Y159" s="113" t="str">
        <f>IF(T159&gt;0,(VLOOKUP($W159,Relaciones!$A$4:$D$108,2)),"")</f>
        <v/>
      </c>
      <c r="Z159" s="146" t="str">
        <f t="shared" si="387"/>
        <v/>
      </c>
      <c r="AA159" s="146" t="str">
        <f t="shared" si="388"/>
        <v/>
      </c>
      <c r="AB159" s="147" t="str">
        <f t="shared" si="389"/>
        <v/>
      </c>
      <c r="AC159" s="147" t="str">
        <f t="shared" si="390"/>
        <v/>
      </c>
      <c r="AD159" s="147" t="str">
        <f t="shared" si="391"/>
        <v/>
      </c>
      <c r="AE159" s="148">
        <f t="shared" si="392"/>
        <v>0</v>
      </c>
      <c r="AF159" s="148">
        <f t="shared" si="392"/>
        <v>0</v>
      </c>
      <c r="AG159" s="148">
        <f t="shared" si="392"/>
        <v>0</v>
      </c>
      <c r="AH159" s="148">
        <f t="shared" si="393"/>
        <v>0</v>
      </c>
      <c r="AI159" s="147">
        <f t="shared" si="394"/>
        <v>0</v>
      </c>
      <c r="AJ159" s="149">
        <f>IF(AI159&gt;0,I159*VLOOKUP(T159,'$ alcantarillado'!$I$6:$K$22,3),0)</f>
        <v>0</v>
      </c>
      <c r="AK159" s="149">
        <f t="shared" si="367"/>
        <v>0</v>
      </c>
      <c r="AL159" s="149">
        <f t="shared" si="368"/>
        <v>0</v>
      </c>
      <c r="AM159" s="149">
        <f t="shared" si="382"/>
        <v>0</v>
      </c>
      <c r="AN159" s="175">
        <v>0</v>
      </c>
      <c r="AO159" s="150" t="str">
        <f t="shared" si="369"/>
        <v/>
      </c>
      <c r="AP159" s="219"/>
      <c r="AQ159" s="142"/>
      <c r="AR159" s="165"/>
    </row>
    <row r="160" spans="1:44" ht="15.75" thickBot="1" x14ac:dyDescent="0.3">
      <c r="A160" s="230"/>
      <c r="B160" s="230"/>
      <c r="C160" s="230"/>
      <c r="D160" s="230"/>
      <c r="E160" s="152">
        <v>5</v>
      </c>
      <c r="F160" s="153">
        <f t="shared" si="395"/>
        <v>45.629999999999995</v>
      </c>
      <c r="G160" s="152">
        <v>2</v>
      </c>
      <c r="H160" s="169">
        <f>+H159</f>
        <v>47.445</v>
      </c>
      <c r="I160" s="154">
        <f>+I159</f>
        <v>80</v>
      </c>
      <c r="J160" s="155">
        <f t="shared" si="370"/>
        <v>-2.2687500000000062E-2</v>
      </c>
      <c r="K160" s="154">
        <f>+K159</f>
        <v>948</v>
      </c>
      <c r="L160" s="153">
        <f t="shared" si="371"/>
        <v>13.275700000000001</v>
      </c>
      <c r="M160" s="156">
        <f t="shared" si="385"/>
        <v>1.32757E-2</v>
      </c>
      <c r="N160" s="156">
        <f t="shared" si="360"/>
        <v>0</v>
      </c>
      <c r="O160" s="156">
        <f t="shared" si="361"/>
        <v>0</v>
      </c>
      <c r="P160" s="157">
        <f t="shared" si="362"/>
        <v>0</v>
      </c>
      <c r="Q160" s="113" t="str">
        <f>IF(O160&gt;0,VLOOKUP(P160,'$ alcantarillado'!$I$5:$L$22,4,FALSE),"0")</f>
        <v>0</v>
      </c>
      <c r="R160" s="160" t="str">
        <f t="shared" si="363"/>
        <v/>
      </c>
      <c r="S160" s="146">
        <f t="shared" si="364"/>
        <v>0</v>
      </c>
      <c r="T160" s="145">
        <f>+IF(S160&gt;$B$13,VLOOKUP(P160,'$ alcantarillado'!$I$6:$N$22,5),P160)</f>
        <v>0</v>
      </c>
      <c r="U160" s="113" t="str">
        <f>IF(O160&gt;0,VLOOKUP(T160,'$ alcantarillado'!$I$5:$L$22,4),"0")</f>
        <v>0</v>
      </c>
      <c r="V160" s="113" t="str">
        <f t="shared" si="365"/>
        <v/>
      </c>
      <c r="W160" s="146">
        <f t="shared" si="366"/>
        <v>0</v>
      </c>
      <c r="X160" s="146" t="str">
        <f t="shared" si="386"/>
        <v/>
      </c>
      <c r="Y160" s="113" t="str">
        <f>IF(T160&gt;0,(VLOOKUP($W160,Relaciones!$A$4:$D$108,2)),"")</f>
        <v/>
      </c>
      <c r="Z160" s="146" t="str">
        <f t="shared" si="387"/>
        <v/>
      </c>
      <c r="AA160" s="146" t="str">
        <f t="shared" si="388"/>
        <v/>
      </c>
      <c r="AB160" s="147" t="str">
        <f t="shared" si="389"/>
        <v/>
      </c>
      <c r="AC160" s="147" t="str">
        <f t="shared" si="390"/>
        <v/>
      </c>
      <c r="AD160" s="147" t="str">
        <f t="shared" si="391"/>
        <v/>
      </c>
      <c r="AE160" s="148">
        <f t="shared" si="392"/>
        <v>0</v>
      </c>
      <c r="AF160" s="148">
        <f t="shared" si="392"/>
        <v>0</v>
      </c>
      <c r="AG160" s="148">
        <f t="shared" si="392"/>
        <v>0</v>
      </c>
      <c r="AH160" s="148">
        <f t="shared" si="393"/>
        <v>0</v>
      </c>
      <c r="AI160" s="147">
        <f t="shared" si="394"/>
        <v>0</v>
      </c>
      <c r="AJ160" s="158">
        <f>IF(AI160&gt;0,I160*VLOOKUP(T160,'$ alcantarillado'!$I$6:$K$22,3),0)</f>
        <v>0</v>
      </c>
      <c r="AK160" s="149">
        <f t="shared" si="367"/>
        <v>0</v>
      </c>
      <c r="AL160" s="149">
        <f t="shared" si="368"/>
        <v>0</v>
      </c>
      <c r="AM160" s="158">
        <f t="shared" si="382"/>
        <v>0</v>
      </c>
      <c r="AN160" s="175">
        <v>0</v>
      </c>
      <c r="AO160" s="159" t="str">
        <f t="shared" si="369"/>
        <v/>
      </c>
      <c r="AP160" s="220"/>
      <c r="AQ160" s="154"/>
      <c r="AR160" s="166"/>
    </row>
    <row r="161" spans="1:44" x14ac:dyDescent="0.25">
      <c r="A161" s="230"/>
      <c r="B161" s="230"/>
      <c r="C161" s="230"/>
      <c r="D161" s="230"/>
      <c r="E161" s="127">
        <v>1</v>
      </c>
      <c r="F161" s="132">
        <f>+$D$151-$B$5</f>
        <v>47.629999999999995</v>
      </c>
      <c r="G161" s="127">
        <v>3</v>
      </c>
      <c r="H161" s="129">
        <f>+'LOGIKA AN-2'!H161</f>
        <v>47.32</v>
      </c>
      <c r="I161" s="129">
        <f t="shared" ref="I161" si="398">+I160</f>
        <v>80</v>
      </c>
      <c r="J161" s="143">
        <f>+(F161-H161)/I161</f>
        <v>3.8749999999999397E-3</v>
      </c>
      <c r="K161" s="129">
        <f t="shared" ref="K161" si="399">+K160</f>
        <v>948</v>
      </c>
      <c r="L161" s="132">
        <f>IF(K161&lt;38,K161^0.3686*0.7401,IF(K161&lt;235,K161^0.4193*0.6215,IF(K161&lt;932,K161*0.0092+4.2493,K161*0.0069+6.7345)))</f>
        <v>13.275700000000001</v>
      </c>
      <c r="M161" s="133">
        <f>+L161/1000</f>
        <v>1.32757E-2</v>
      </c>
      <c r="N161" s="133">
        <f t="shared" si="360"/>
        <v>0.15424172849385967</v>
      </c>
      <c r="O161" s="133">
        <f t="shared" si="361"/>
        <v>6.0725089958212468</v>
      </c>
      <c r="P161" s="134">
        <f t="shared" si="362"/>
        <v>8</v>
      </c>
      <c r="Q161" s="135">
        <f>IF(O161&gt;0,VLOOKUP(P161,'$ alcantarillado'!$I$5:$L$22,4,FALSE),"0")</f>
        <v>0.182</v>
      </c>
      <c r="R161" s="135">
        <f t="shared" si="363"/>
        <v>2.0639988066721529E-2</v>
      </c>
      <c r="S161" s="136">
        <f t="shared" si="364"/>
        <v>0.6432028912557759</v>
      </c>
      <c r="T161" s="134">
        <f>+IF(S161&gt;$B$13,VLOOKUP(P161,'$ alcantarillado'!$I$6:$N$22,5),P161)</f>
        <v>8</v>
      </c>
      <c r="U161" s="135">
        <f>IF(O161&gt;0,VLOOKUP(T161,'$ alcantarillado'!$I$5:$L$22,4),"0")</f>
        <v>0.182</v>
      </c>
      <c r="V161" s="135">
        <f t="shared" si="365"/>
        <v>2.0639988066721529E-2</v>
      </c>
      <c r="W161" s="136">
        <f t="shared" si="366"/>
        <v>0.6432028912557759</v>
      </c>
      <c r="X161" s="136">
        <f>IF(T161&gt;0,4*V161/(PI()*(U161)^2),"")</f>
        <v>0.79337184547191486</v>
      </c>
      <c r="Y161" s="135">
        <f>IF(T161&gt;0,(VLOOKUP($W161,Relaciones!$A$4:$D$108,2)),"")</f>
        <v>0.91800000000000004</v>
      </c>
      <c r="Z161" s="136">
        <f>IF(T161&gt;0,Y161*X161,"")</f>
        <v>0.72831535414321791</v>
      </c>
      <c r="AA161" s="136">
        <f>IF(T161&gt;0,250*U161*J161,"")</f>
        <v>0.17631249999999726</v>
      </c>
      <c r="AB161" s="137" t="str">
        <f>IF(T161&gt;0,IF(W161&lt;=$B$13,"OK","No Cumple"),"")</f>
        <v>OK</v>
      </c>
      <c r="AC161" s="137" t="str">
        <f>IF(T161&gt;0,IF(Z161&gt;=$B$12,"OK","No Cumple"),"")</f>
        <v>OK</v>
      </c>
      <c r="AD161" s="137" t="str">
        <f>IF(T161&gt;0,IF(AA161&gt;$B$14,"OK","No Cumple"),"")</f>
        <v>OK</v>
      </c>
      <c r="AE161" s="138">
        <f>+IF(AB161="OK",1,0)</f>
        <v>1</v>
      </c>
      <c r="AF161" s="138">
        <f>+IF(AC161="OK",1,0)</f>
        <v>1</v>
      </c>
      <c r="AG161" s="138">
        <f>+IF(AD161="OK",1,0)</f>
        <v>1</v>
      </c>
      <c r="AH161" s="138">
        <f>SUM(AE161:AG161)</f>
        <v>3</v>
      </c>
      <c r="AI161" s="137">
        <f>IF(AH161=3,2*$B$7+U161,0)</f>
        <v>0.68199999999999994</v>
      </c>
      <c r="AJ161" s="139">
        <f>IF(AI161&gt;0,I161*VLOOKUP(T161,'$ alcantarillado'!$I$6:$K$22,3),0)</f>
        <v>2654586.666666667</v>
      </c>
      <c r="AK161" s="139">
        <f t="shared" si="367"/>
        <v>2281371.8400000036</v>
      </c>
      <c r="AL161" s="139">
        <f t="shared" si="368"/>
        <v>964609.74200000195</v>
      </c>
      <c r="AM161" s="139">
        <f>IF(AJ161&gt;0,AJ161+AK161+AL161,0)</f>
        <v>5900568.248666672</v>
      </c>
      <c r="AN161" s="174">
        <v>0</v>
      </c>
      <c r="AO161" s="173">
        <f t="shared" si="369"/>
        <v>5900568.248666672</v>
      </c>
      <c r="AP161" s="225">
        <f>+MIN(AO161:AO165)</f>
        <v>5900568.248666672</v>
      </c>
      <c r="AQ161" s="129"/>
      <c r="AR161" s="163"/>
    </row>
    <row r="162" spans="1:44" x14ac:dyDescent="0.25">
      <c r="A162" s="230"/>
      <c r="B162" s="230"/>
      <c r="C162" s="230"/>
      <c r="D162" s="230"/>
      <c r="E162" s="141">
        <v>2</v>
      </c>
      <c r="F162" s="128">
        <f>+F161-$B$4</f>
        <v>47.129999999999995</v>
      </c>
      <c r="G162" s="141">
        <v>3</v>
      </c>
      <c r="H162" s="142">
        <f>+H161</f>
        <v>47.32</v>
      </c>
      <c r="I162" s="142">
        <f>+I161</f>
        <v>80</v>
      </c>
      <c r="J162" s="143">
        <f t="shared" si="370"/>
        <v>-2.3750000000000602E-3</v>
      </c>
      <c r="K162" s="142">
        <f>+K161</f>
        <v>948</v>
      </c>
      <c r="L162" s="128">
        <f t="shared" si="371"/>
        <v>13.275700000000001</v>
      </c>
      <c r="M162" s="144">
        <f t="shared" ref="M162:M165" si="400">+L162/1000</f>
        <v>1.32757E-2</v>
      </c>
      <c r="N162" s="144">
        <f t="shared" si="360"/>
        <v>0</v>
      </c>
      <c r="O162" s="144">
        <f t="shared" si="361"/>
        <v>0</v>
      </c>
      <c r="P162" s="145">
        <f t="shared" si="362"/>
        <v>0</v>
      </c>
      <c r="Q162" s="113" t="str">
        <f>IF(O162&gt;0,VLOOKUP(P162,'$ alcantarillado'!$I$5:$L$22,4,FALSE),"0")</f>
        <v>0</v>
      </c>
      <c r="R162" s="113" t="str">
        <f t="shared" si="363"/>
        <v/>
      </c>
      <c r="S162" s="146">
        <f t="shared" si="364"/>
        <v>0</v>
      </c>
      <c r="T162" s="145">
        <f>+IF(S162&gt;$B$13,VLOOKUP(P162,'$ alcantarillado'!$I$6:$N$22,5),P162)</f>
        <v>0</v>
      </c>
      <c r="U162" s="113" t="str">
        <f>IF(O162&gt;0,VLOOKUP(T162,'$ alcantarillado'!$I$5:$L$22,4),"0")</f>
        <v>0</v>
      </c>
      <c r="V162" s="113" t="str">
        <f t="shared" si="365"/>
        <v/>
      </c>
      <c r="W162" s="146">
        <f t="shared" si="366"/>
        <v>0</v>
      </c>
      <c r="X162" s="146" t="str">
        <f t="shared" ref="X162:X165" si="401">IF(T162&gt;0,4*V162/(PI()*(U162)^2),"")</f>
        <v/>
      </c>
      <c r="Y162" s="113" t="str">
        <f>IF(T162&gt;0,(VLOOKUP($W162,Relaciones!$A$4:$D$108,2)),"")</f>
        <v/>
      </c>
      <c r="Z162" s="146" t="str">
        <f t="shared" ref="Z162:Z165" si="402">IF(T162&gt;0,Y162*X162,"")</f>
        <v/>
      </c>
      <c r="AA162" s="146" t="str">
        <f t="shared" ref="AA162:AA165" si="403">IF(T162&gt;0,250*U162*J162,"")</f>
        <v/>
      </c>
      <c r="AB162" s="147" t="str">
        <f t="shared" ref="AB162:AB165" si="404">IF(T162&gt;0,IF(W162&lt;=$B$13,"OK","No Cumple"),"")</f>
        <v/>
      </c>
      <c r="AC162" s="147" t="str">
        <f t="shared" ref="AC162:AC165" si="405">IF(T162&gt;0,IF(Z162&gt;=$B$12,"OK","No Cumple"),"")</f>
        <v/>
      </c>
      <c r="AD162" s="147" t="str">
        <f t="shared" ref="AD162:AD165" si="406">IF(T162&gt;0,IF(AA162&gt;$B$14,"OK","No Cumple"),"")</f>
        <v/>
      </c>
      <c r="AE162" s="148">
        <f t="shared" ref="AE162:AG165" si="407">+IF(AB162="OK",1,0)</f>
        <v>0</v>
      </c>
      <c r="AF162" s="148">
        <f t="shared" si="407"/>
        <v>0</v>
      </c>
      <c r="AG162" s="148">
        <f t="shared" si="407"/>
        <v>0</v>
      </c>
      <c r="AH162" s="148">
        <f t="shared" ref="AH162:AH165" si="408">SUM(AE162:AG162)</f>
        <v>0</v>
      </c>
      <c r="AI162" s="147">
        <f t="shared" ref="AI162:AI165" si="409">IF(AH162=3,2*$B$7+U162,0)</f>
        <v>0</v>
      </c>
      <c r="AJ162" s="149">
        <f>IF(AI162&gt;0,I162*VLOOKUP(T162,'$ alcantarillado'!$I$6:$K$22,3),0)</f>
        <v>0</v>
      </c>
      <c r="AK162" s="149">
        <f t="shared" si="367"/>
        <v>0</v>
      </c>
      <c r="AL162" s="149">
        <f t="shared" si="368"/>
        <v>0</v>
      </c>
      <c r="AM162" s="149">
        <f t="shared" si="382"/>
        <v>0</v>
      </c>
      <c r="AN162" s="175">
        <v>0</v>
      </c>
      <c r="AO162" s="150" t="str">
        <f t="shared" si="369"/>
        <v/>
      </c>
      <c r="AP162" s="226"/>
      <c r="AQ162" s="142"/>
      <c r="AR162" s="165"/>
    </row>
    <row r="163" spans="1:44" x14ac:dyDescent="0.25">
      <c r="A163" s="230"/>
      <c r="B163" s="230"/>
      <c r="C163" s="230"/>
      <c r="D163" s="230"/>
      <c r="E163" s="151">
        <v>3</v>
      </c>
      <c r="F163" s="128">
        <f t="shared" ref="F163:F165" si="410">+F162-$B$4</f>
        <v>46.629999999999995</v>
      </c>
      <c r="G163" s="151">
        <v>3</v>
      </c>
      <c r="H163" s="142">
        <f t="shared" ref="H163:I164" si="411">+H162</f>
        <v>47.32</v>
      </c>
      <c r="I163" s="142">
        <f t="shared" si="411"/>
        <v>80</v>
      </c>
      <c r="J163" s="143">
        <f t="shared" si="370"/>
        <v>-8.6250000000000597E-3</v>
      </c>
      <c r="K163" s="142">
        <f t="shared" ref="K163:K164" si="412">+K162</f>
        <v>948</v>
      </c>
      <c r="L163" s="128">
        <f t="shared" si="371"/>
        <v>13.275700000000001</v>
      </c>
      <c r="M163" s="144">
        <f t="shared" si="400"/>
        <v>1.32757E-2</v>
      </c>
      <c r="N163" s="144">
        <f t="shared" si="360"/>
        <v>0</v>
      </c>
      <c r="O163" s="144">
        <f t="shared" si="361"/>
        <v>0</v>
      </c>
      <c r="P163" s="145">
        <f t="shared" si="362"/>
        <v>0</v>
      </c>
      <c r="Q163" s="113" t="str">
        <f>IF(O163&gt;0,VLOOKUP(P163,'$ alcantarillado'!$I$5:$L$22,4,FALSE),"0")</f>
        <v>0</v>
      </c>
      <c r="R163" s="113" t="str">
        <f t="shared" si="363"/>
        <v/>
      </c>
      <c r="S163" s="146">
        <f t="shared" si="364"/>
        <v>0</v>
      </c>
      <c r="T163" s="145">
        <f>+IF(S163&gt;$B$13,VLOOKUP(P163,'$ alcantarillado'!$I$6:$N$22,5),P163)</f>
        <v>0</v>
      </c>
      <c r="U163" s="113" t="str">
        <f>IF(O163&gt;0,VLOOKUP(T163,'$ alcantarillado'!$I$5:$L$22,4),"0")</f>
        <v>0</v>
      </c>
      <c r="V163" s="113" t="str">
        <f t="shared" si="365"/>
        <v/>
      </c>
      <c r="W163" s="146">
        <f t="shared" si="366"/>
        <v>0</v>
      </c>
      <c r="X163" s="146" t="str">
        <f t="shared" si="401"/>
        <v/>
      </c>
      <c r="Y163" s="113" t="str">
        <f>IF(T163&gt;0,(VLOOKUP($W163,Relaciones!$A$4:$D$108,2)),"")</f>
        <v/>
      </c>
      <c r="Z163" s="146" t="str">
        <f t="shared" si="402"/>
        <v/>
      </c>
      <c r="AA163" s="146" t="str">
        <f t="shared" si="403"/>
        <v/>
      </c>
      <c r="AB163" s="147" t="str">
        <f t="shared" si="404"/>
        <v/>
      </c>
      <c r="AC163" s="147" t="str">
        <f t="shared" si="405"/>
        <v/>
      </c>
      <c r="AD163" s="147" t="str">
        <f t="shared" si="406"/>
        <v/>
      </c>
      <c r="AE163" s="148">
        <f t="shared" si="407"/>
        <v>0</v>
      </c>
      <c r="AF163" s="148">
        <f t="shared" si="407"/>
        <v>0</v>
      </c>
      <c r="AG163" s="148">
        <f t="shared" si="407"/>
        <v>0</v>
      </c>
      <c r="AH163" s="148">
        <f t="shared" si="408"/>
        <v>0</v>
      </c>
      <c r="AI163" s="147">
        <f t="shared" si="409"/>
        <v>0</v>
      </c>
      <c r="AJ163" s="149">
        <f>IF(AI163&gt;0,I163*VLOOKUP(T163,'$ alcantarillado'!$I$6:$K$22,3),0)</f>
        <v>0</v>
      </c>
      <c r="AK163" s="149">
        <f t="shared" si="367"/>
        <v>0</v>
      </c>
      <c r="AL163" s="149">
        <f t="shared" si="368"/>
        <v>0</v>
      </c>
      <c r="AM163" s="149">
        <f t="shared" si="382"/>
        <v>0</v>
      </c>
      <c r="AN163" s="175">
        <v>0</v>
      </c>
      <c r="AO163" s="150" t="str">
        <f t="shared" si="369"/>
        <v/>
      </c>
      <c r="AP163" s="227"/>
      <c r="AQ163" s="142"/>
      <c r="AR163" s="165"/>
    </row>
    <row r="164" spans="1:44" x14ac:dyDescent="0.25">
      <c r="A164" s="230"/>
      <c r="B164" s="230"/>
      <c r="C164" s="230"/>
      <c r="D164" s="230"/>
      <c r="E164" s="151">
        <v>4</v>
      </c>
      <c r="F164" s="128">
        <f t="shared" si="410"/>
        <v>46.129999999999995</v>
      </c>
      <c r="G164" s="151">
        <v>3</v>
      </c>
      <c r="H164" s="142">
        <f t="shared" si="411"/>
        <v>47.32</v>
      </c>
      <c r="I164" s="142">
        <f t="shared" si="411"/>
        <v>80</v>
      </c>
      <c r="J164" s="143">
        <f>+(F164-H164)/I164</f>
        <v>-1.487500000000006E-2</v>
      </c>
      <c r="K164" s="142">
        <f t="shared" si="412"/>
        <v>948</v>
      </c>
      <c r="L164" s="128">
        <f t="shared" si="371"/>
        <v>13.275700000000001</v>
      </c>
      <c r="M164" s="144">
        <f t="shared" si="400"/>
        <v>1.32757E-2</v>
      </c>
      <c r="N164" s="144">
        <f t="shared" si="360"/>
        <v>0</v>
      </c>
      <c r="O164" s="144">
        <f t="shared" si="361"/>
        <v>0</v>
      </c>
      <c r="P164" s="145">
        <f t="shared" si="362"/>
        <v>0</v>
      </c>
      <c r="Q164" s="113" t="str">
        <f>IF(O164&gt;0,VLOOKUP(P164,'$ alcantarillado'!$I$5:$L$22,4,FALSE),"0")</f>
        <v>0</v>
      </c>
      <c r="R164" s="113" t="str">
        <f t="shared" si="363"/>
        <v/>
      </c>
      <c r="S164" s="146">
        <f t="shared" si="364"/>
        <v>0</v>
      </c>
      <c r="T164" s="145">
        <f>+IF(S164&gt;$B$13,VLOOKUP(P164,'$ alcantarillado'!$I$6:$N$22,5),P164)</f>
        <v>0</v>
      </c>
      <c r="U164" s="113" t="str">
        <f>IF(O164&gt;0,VLOOKUP(T164,'$ alcantarillado'!$I$5:$L$22,4),"0")</f>
        <v>0</v>
      </c>
      <c r="V164" s="113" t="str">
        <f t="shared" si="365"/>
        <v/>
      </c>
      <c r="W164" s="146">
        <f t="shared" si="366"/>
        <v>0</v>
      </c>
      <c r="X164" s="146" t="str">
        <f t="shared" si="401"/>
        <v/>
      </c>
      <c r="Y164" s="113" t="str">
        <f>IF(T164&gt;0,(VLOOKUP($W164,Relaciones!$A$4:$D$108,2)),"")</f>
        <v/>
      </c>
      <c r="Z164" s="146" t="str">
        <f t="shared" si="402"/>
        <v/>
      </c>
      <c r="AA164" s="146" t="str">
        <f t="shared" si="403"/>
        <v/>
      </c>
      <c r="AB164" s="147" t="str">
        <f t="shared" si="404"/>
        <v/>
      </c>
      <c r="AC164" s="147" t="str">
        <f t="shared" si="405"/>
        <v/>
      </c>
      <c r="AD164" s="147" t="str">
        <f t="shared" si="406"/>
        <v/>
      </c>
      <c r="AE164" s="148">
        <f t="shared" si="407"/>
        <v>0</v>
      </c>
      <c r="AF164" s="148">
        <f t="shared" si="407"/>
        <v>0</v>
      </c>
      <c r="AG164" s="148">
        <f t="shared" si="407"/>
        <v>0</v>
      </c>
      <c r="AH164" s="148">
        <f t="shared" si="408"/>
        <v>0</v>
      </c>
      <c r="AI164" s="147">
        <f t="shared" si="409"/>
        <v>0</v>
      </c>
      <c r="AJ164" s="149">
        <f>IF(AI164&gt;0,I164*VLOOKUP(T164,'$ alcantarillado'!$I$6:$K$22,3),0)</f>
        <v>0</v>
      </c>
      <c r="AK164" s="149">
        <f t="shared" si="367"/>
        <v>0</v>
      </c>
      <c r="AL164" s="149">
        <f t="shared" si="368"/>
        <v>0</v>
      </c>
      <c r="AM164" s="149">
        <f t="shared" si="382"/>
        <v>0</v>
      </c>
      <c r="AN164" s="175">
        <v>0</v>
      </c>
      <c r="AO164" s="150" t="str">
        <f t="shared" si="369"/>
        <v/>
      </c>
      <c r="AP164" s="227"/>
      <c r="AQ164" s="142">
        <v>1</v>
      </c>
      <c r="AR164" s="165">
        <v>3</v>
      </c>
    </row>
    <row r="165" spans="1:44" ht="15.75" thickBot="1" x14ac:dyDescent="0.3">
      <c r="A165" s="230"/>
      <c r="B165" s="230"/>
      <c r="C165" s="230"/>
      <c r="D165" s="230"/>
      <c r="E165" s="152">
        <v>5</v>
      </c>
      <c r="F165" s="153">
        <f t="shared" si="410"/>
        <v>45.629999999999995</v>
      </c>
      <c r="G165" s="152">
        <v>3</v>
      </c>
      <c r="H165" s="154">
        <f>+H164</f>
        <v>47.32</v>
      </c>
      <c r="I165" s="154">
        <f>+I164</f>
        <v>80</v>
      </c>
      <c r="J165" s="155">
        <f t="shared" si="370"/>
        <v>-2.112500000000006E-2</v>
      </c>
      <c r="K165" s="154">
        <f>+K164</f>
        <v>948</v>
      </c>
      <c r="L165" s="153">
        <f t="shared" si="371"/>
        <v>13.275700000000001</v>
      </c>
      <c r="M165" s="156">
        <f t="shared" si="400"/>
        <v>1.32757E-2</v>
      </c>
      <c r="N165" s="156">
        <f t="shared" si="360"/>
        <v>0</v>
      </c>
      <c r="O165" s="156">
        <f t="shared" si="361"/>
        <v>0</v>
      </c>
      <c r="P165" s="157">
        <f t="shared" si="362"/>
        <v>0</v>
      </c>
      <c r="Q165" s="113" t="str">
        <f>IF(O165&gt;0,VLOOKUP(P165,'$ alcantarillado'!$I$5:$L$22,4,FALSE),"0")</f>
        <v>0</v>
      </c>
      <c r="R165" s="160" t="str">
        <f t="shared" si="363"/>
        <v/>
      </c>
      <c r="S165" s="146">
        <f t="shared" si="364"/>
        <v>0</v>
      </c>
      <c r="T165" s="145">
        <f>+IF(S165&gt;$B$13,VLOOKUP(P165,'$ alcantarillado'!$I$6:$N$22,5),P165)</f>
        <v>0</v>
      </c>
      <c r="U165" s="113" t="str">
        <f>IF(O165&gt;0,VLOOKUP(T165,'$ alcantarillado'!$I$5:$L$22,4),"0")</f>
        <v>0</v>
      </c>
      <c r="V165" s="113" t="str">
        <f t="shared" si="365"/>
        <v/>
      </c>
      <c r="W165" s="146">
        <f t="shared" si="366"/>
        <v>0</v>
      </c>
      <c r="X165" s="146" t="str">
        <f t="shared" si="401"/>
        <v/>
      </c>
      <c r="Y165" s="113" t="str">
        <f>IF(T165&gt;0,(VLOOKUP($W165,Relaciones!$A$4:$D$108,2)),"")</f>
        <v/>
      </c>
      <c r="Z165" s="146" t="str">
        <f t="shared" si="402"/>
        <v/>
      </c>
      <c r="AA165" s="146" t="str">
        <f t="shared" si="403"/>
        <v/>
      </c>
      <c r="AB165" s="147" t="str">
        <f t="shared" si="404"/>
        <v/>
      </c>
      <c r="AC165" s="147" t="str">
        <f t="shared" si="405"/>
        <v/>
      </c>
      <c r="AD165" s="147" t="str">
        <f t="shared" si="406"/>
        <v/>
      </c>
      <c r="AE165" s="148">
        <f t="shared" si="407"/>
        <v>0</v>
      </c>
      <c r="AF165" s="148">
        <f t="shared" si="407"/>
        <v>0</v>
      </c>
      <c r="AG165" s="148">
        <f t="shared" si="407"/>
        <v>0</v>
      </c>
      <c r="AH165" s="148">
        <f t="shared" si="408"/>
        <v>0</v>
      </c>
      <c r="AI165" s="147">
        <f t="shared" si="409"/>
        <v>0</v>
      </c>
      <c r="AJ165" s="158">
        <f>IF(AI165&gt;0,I165*VLOOKUP(T165,'$ alcantarillado'!$I$6:$K$22,3),0)</f>
        <v>0</v>
      </c>
      <c r="AK165" s="149">
        <f t="shared" si="367"/>
        <v>0</v>
      </c>
      <c r="AL165" s="149">
        <f t="shared" si="368"/>
        <v>0</v>
      </c>
      <c r="AM165" s="158">
        <f t="shared" si="382"/>
        <v>0</v>
      </c>
      <c r="AN165" s="175">
        <v>0</v>
      </c>
      <c r="AO165" s="159" t="str">
        <f t="shared" si="369"/>
        <v/>
      </c>
      <c r="AP165" s="228"/>
      <c r="AQ165" s="154"/>
      <c r="AR165" s="166"/>
    </row>
    <row r="166" spans="1:44" x14ac:dyDescent="0.25">
      <c r="A166" s="230"/>
      <c r="B166" s="230"/>
      <c r="C166" s="230"/>
      <c r="D166" s="230"/>
      <c r="E166" s="127">
        <v>1</v>
      </c>
      <c r="F166" s="132">
        <f>+$D$151-$B$5</f>
        <v>47.629999999999995</v>
      </c>
      <c r="G166" s="127">
        <v>4</v>
      </c>
      <c r="H166" s="132">
        <f>+H161-$B$15</f>
        <v>47.195</v>
      </c>
      <c r="I166" s="142">
        <f>+I161</f>
        <v>80</v>
      </c>
      <c r="J166" s="143">
        <f>+(F166-H166)/I166</f>
        <v>5.4374999999999398E-3</v>
      </c>
      <c r="K166" s="142">
        <f>+K161</f>
        <v>948</v>
      </c>
      <c r="L166" s="132">
        <f>IF(K166&lt;38,K166^0.3686*0.7401,IF(K166&lt;235,K166^0.4193*0.6215,IF(K166&lt;932,K166*0.0092+4.2493,K166*0.0069+6.7345)))</f>
        <v>13.275700000000001</v>
      </c>
      <c r="M166" s="133">
        <f>+L166/1000</f>
        <v>1.32757E-2</v>
      </c>
      <c r="N166" s="133">
        <f t="shared" si="360"/>
        <v>0.1447489644355632</v>
      </c>
      <c r="O166" s="133">
        <f t="shared" si="361"/>
        <v>5.6987781273843785</v>
      </c>
      <c r="P166" s="134">
        <f t="shared" si="362"/>
        <v>6</v>
      </c>
      <c r="Q166" s="135">
        <f>IF(O166&gt;0,VLOOKUP(P166,'$ alcantarillado'!$I$5:$L$22,4,FALSE),"0")</f>
        <v>0.14499999999999999</v>
      </c>
      <c r="R166" s="135">
        <f t="shared" si="363"/>
        <v>1.33371855971835E-2</v>
      </c>
      <c r="S166" s="136">
        <f t="shared" si="364"/>
        <v>0.99538991215684325</v>
      </c>
      <c r="T166" s="134">
        <f>+IF(S166&gt;$B$13,VLOOKUP(P166,'$ alcantarillado'!$I$6:$N$22,5),P166)</f>
        <v>8</v>
      </c>
      <c r="U166" s="135">
        <f>IF(O166&gt;0,VLOOKUP(T166,'$ alcantarillado'!$I$5:$L$22,4),"0")</f>
        <v>0.182</v>
      </c>
      <c r="V166" s="135">
        <f t="shared" si="365"/>
        <v>2.4449682478086533E-2</v>
      </c>
      <c r="W166" s="136">
        <f t="shared" si="366"/>
        <v>0.54298046659291321</v>
      </c>
      <c r="X166" s="136">
        <f>IF(T166&gt;0,4*V166/(PI()*(U166)^2),"")</f>
        <v>0.93981109127273821</v>
      </c>
      <c r="Y166" s="135">
        <f>IF(T166&gt;0,(VLOOKUP($W166,Relaciones!$A$4:$D$108,2)),"")</f>
        <v>0.87</v>
      </c>
      <c r="Z166" s="136">
        <f>IF(T166&gt;0,Y166*X166,"")</f>
        <v>0.81763564940728228</v>
      </c>
      <c r="AA166" s="136">
        <f>IF(T166&gt;0,250*U166*J166,"")</f>
        <v>0.24740624999999725</v>
      </c>
      <c r="AB166" s="137" t="str">
        <f>IF(T166&gt;0,IF(W166&lt;=$B$13,"OK","No Cumple"),"")</f>
        <v>OK</v>
      </c>
      <c r="AC166" s="137" t="str">
        <f>IF(T166&gt;0,IF(Z166&gt;=$B$12,"OK","No Cumple"),"")</f>
        <v>OK</v>
      </c>
      <c r="AD166" s="137" t="str">
        <f>IF(T166&gt;0,IF(AA166&gt;$B$14,"OK","No Cumple"),"")</f>
        <v>OK</v>
      </c>
      <c r="AE166" s="138">
        <f>+IF(AB166="OK",1,0)</f>
        <v>1</v>
      </c>
      <c r="AF166" s="138">
        <f>+IF(AC166="OK",1,0)</f>
        <v>1</v>
      </c>
      <c r="AG166" s="138">
        <f>+IF(AD166="OK",1,0)</f>
        <v>1</v>
      </c>
      <c r="AH166" s="138">
        <f>SUM(AE166:AG166)</f>
        <v>3</v>
      </c>
      <c r="AI166" s="137">
        <f>IF(AH166=3,2*$B$7+U166,0)</f>
        <v>0.68199999999999994</v>
      </c>
      <c r="AJ166" s="139">
        <f>IF(AI166&gt;0,I166*VLOOKUP(T166,'$ alcantarillado'!$I$6:$K$22,3),0)</f>
        <v>2654586.666666667</v>
      </c>
      <c r="AK166" s="139">
        <f t="shared" si="367"/>
        <v>2342751.8400000036</v>
      </c>
      <c r="AL166" s="139">
        <f t="shared" si="368"/>
        <v>964609.74200000195</v>
      </c>
      <c r="AM166" s="139">
        <f>IF(AJ166&gt;0,AJ166+AK166+AL166,0)</f>
        <v>5961948.248666672</v>
      </c>
      <c r="AN166" s="174">
        <v>0</v>
      </c>
      <c r="AO166" s="140">
        <f t="shared" si="369"/>
        <v>5961948.248666672</v>
      </c>
      <c r="AP166" s="217">
        <f t="shared" ref="AP166" si="413">+MIN(AO166:AO170)</f>
        <v>5961948.248666672</v>
      </c>
      <c r="AQ166" s="129"/>
      <c r="AR166" s="163"/>
    </row>
    <row r="167" spans="1:44" x14ac:dyDescent="0.25">
      <c r="A167" s="230"/>
      <c r="B167" s="230"/>
      <c r="C167" s="230"/>
      <c r="D167" s="230"/>
      <c r="E167" s="141">
        <v>2</v>
      </c>
      <c r="F167" s="128">
        <f>+F166-$B$4</f>
        <v>47.129999999999995</v>
      </c>
      <c r="G167" s="141">
        <v>4</v>
      </c>
      <c r="H167" s="128">
        <f>+H166</f>
        <v>47.195</v>
      </c>
      <c r="I167" s="142">
        <f>+I166</f>
        <v>80</v>
      </c>
      <c r="J167" s="143">
        <f t="shared" si="370"/>
        <v>-8.1250000000006035E-4</v>
      </c>
      <c r="K167" s="142">
        <f>+K166</f>
        <v>948</v>
      </c>
      <c r="L167" s="128">
        <f t="shared" si="371"/>
        <v>13.275700000000001</v>
      </c>
      <c r="M167" s="144">
        <f t="shared" ref="M167:M170" si="414">+L167/1000</f>
        <v>1.32757E-2</v>
      </c>
      <c r="N167" s="144">
        <f t="shared" si="360"/>
        <v>0</v>
      </c>
      <c r="O167" s="144">
        <f t="shared" si="361"/>
        <v>0</v>
      </c>
      <c r="P167" s="145">
        <f t="shared" si="362"/>
        <v>0</v>
      </c>
      <c r="Q167" s="113" t="str">
        <f>IF(O167&gt;0,VLOOKUP(P167,'$ alcantarillado'!$I$5:$L$22,4,FALSE),"0")</f>
        <v>0</v>
      </c>
      <c r="R167" s="113" t="str">
        <f t="shared" si="363"/>
        <v/>
      </c>
      <c r="S167" s="146">
        <f t="shared" si="364"/>
        <v>0</v>
      </c>
      <c r="T167" s="145">
        <f>+IF(S167&gt;$B$13,VLOOKUP(P167,'$ alcantarillado'!$I$6:$N$22,5),P167)</f>
        <v>0</v>
      </c>
      <c r="U167" s="113" t="str">
        <f>IF(O167&gt;0,VLOOKUP(T167,'$ alcantarillado'!$I$5:$L$22,4),"0")</f>
        <v>0</v>
      </c>
      <c r="V167" s="113" t="str">
        <f t="shared" si="365"/>
        <v/>
      </c>
      <c r="W167" s="146">
        <f t="shared" si="366"/>
        <v>0</v>
      </c>
      <c r="X167" s="146" t="str">
        <f t="shared" ref="X167:X170" si="415">IF(T167&gt;0,4*V167/(PI()*(U167)^2),"")</f>
        <v/>
      </c>
      <c r="Y167" s="113" t="str">
        <f>IF(T167&gt;0,(VLOOKUP($W167,Relaciones!$A$4:$D$108,2)),"")</f>
        <v/>
      </c>
      <c r="Z167" s="146" t="str">
        <f t="shared" ref="Z167:Z170" si="416">IF(T167&gt;0,Y167*X167,"")</f>
        <v/>
      </c>
      <c r="AA167" s="146" t="str">
        <f t="shared" ref="AA167:AA170" si="417">IF(T167&gt;0,250*U167*J167,"")</f>
        <v/>
      </c>
      <c r="AB167" s="147" t="str">
        <f t="shared" ref="AB167:AB170" si="418">IF(T167&gt;0,IF(W167&lt;=$B$13,"OK","No Cumple"),"")</f>
        <v/>
      </c>
      <c r="AC167" s="147" t="str">
        <f t="shared" ref="AC167:AC170" si="419">IF(T167&gt;0,IF(Z167&gt;=$B$12,"OK","No Cumple"),"")</f>
        <v/>
      </c>
      <c r="AD167" s="147" t="str">
        <f t="shared" ref="AD167:AD170" si="420">IF(T167&gt;0,IF(AA167&gt;$B$14,"OK","No Cumple"),"")</f>
        <v/>
      </c>
      <c r="AE167" s="148">
        <f t="shared" ref="AE167:AG170" si="421">+IF(AB167="OK",1,0)</f>
        <v>0</v>
      </c>
      <c r="AF167" s="148">
        <f t="shared" si="421"/>
        <v>0</v>
      </c>
      <c r="AG167" s="148">
        <f t="shared" si="421"/>
        <v>0</v>
      </c>
      <c r="AH167" s="148">
        <f t="shared" ref="AH167:AH170" si="422">SUM(AE167:AG167)</f>
        <v>0</v>
      </c>
      <c r="AI167" s="147">
        <f t="shared" ref="AI167:AI170" si="423">IF(AH167=3,2*$B$7+U167,0)</f>
        <v>0</v>
      </c>
      <c r="AJ167" s="149">
        <f>IF(AI167&gt;0,I167*VLOOKUP(T167,'$ alcantarillado'!$I$6:$K$22,3),0)</f>
        <v>0</v>
      </c>
      <c r="AK167" s="149">
        <f t="shared" si="367"/>
        <v>0</v>
      </c>
      <c r="AL167" s="149">
        <f t="shared" si="368"/>
        <v>0</v>
      </c>
      <c r="AM167" s="149">
        <f t="shared" si="382"/>
        <v>0</v>
      </c>
      <c r="AN167" s="175">
        <v>0</v>
      </c>
      <c r="AO167" s="150" t="str">
        <f t="shared" si="369"/>
        <v/>
      </c>
      <c r="AP167" s="218"/>
      <c r="AQ167" s="142"/>
      <c r="AR167" s="165"/>
    </row>
    <row r="168" spans="1:44" x14ac:dyDescent="0.25">
      <c r="A168" s="230"/>
      <c r="B168" s="230"/>
      <c r="C168" s="230"/>
      <c r="D168" s="230"/>
      <c r="E168" s="151">
        <v>3</v>
      </c>
      <c r="F168" s="128">
        <f t="shared" ref="F168:F170" si="424">+F167-$B$4</f>
        <v>46.629999999999995</v>
      </c>
      <c r="G168" s="151">
        <v>4</v>
      </c>
      <c r="H168" s="128">
        <f t="shared" ref="H168:I169" si="425">+H167</f>
        <v>47.195</v>
      </c>
      <c r="I168" s="142">
        <f t="shared" si="425"/>
        <v>80</v>
      </c>
      <c r="J168" s="143">
        <f t="shared" si="370"/>
        <v>-7.06250000000006E-3</v>
      </c>
      <c r="K168" s="142">
        <f t="shared" ref="K168:K169" si="426">+K167</f>
        <v>948</v>
      </c>
      <c r="L168" s="128">
        <f t="shared" si="371"/>
        <v>13.275700000000001</v>
      </c>
      <c r="M168" s="144">
        <f t="shared" si="414"/>
        <v>1.32757E-2</v>
      </c>
      <c r="N168" s="144">
        <f t="shared" si="360"/>
        <v>0</v>
      </c>
      <c r="O168" s="144">
        <f t="shared" si="361"/>
        <v>0</v>
      </c>
      <c r="P168" s="145">
        <f t="shared" si="362"/>
        <v>0</v>
      </c>
      <c r="Q168" s="113" t="str">
        <f>IF(O168&gt;0,VLOOKUP(P168,'$ alcantarillado'!$I$5:$L$22,4,FALSE),"0")</f>
        <v>0</v>
      </c>
      <c r="R168" s="113" t="str">
        <f t="shared" si="363"/>
        <v/>
      </c>
      <c r="S168" s="146">
        <f t="shared" si="364"/>
        <v>0</v>
      </c>
      <c r="T168" s="145">
        <f>+IF(S168&gt;$B$13,VLOOKUP(P168,'$ alcantarillado'!$I$6:$N$22,5),P168)</f>
        <v>0</v>
      </c>
      <c r="U168" s="113" t="str">
        <f>IF(O168&gt;0,VLOOKUP(T168,'$ alcantarillado'!$I$5:$L$22,4),"0")</f>
        <v>0</v>
      </c>
      <c r="V168" s="113" t="str">
        <f t="shared" si="365"/>
        <v/>
      </c>
      <c r="W168" s="146">
        <f t="shared" si="366"/>
        <v>0</v>
      </c>
      <c r="X168" s="146" t="str">
        <f t="shared" si="415"/>
        <v/>
      </c>
      <c r="Y168" s="113" t="str">
        <f>IF(T168&gt;0,(VLOOKUP($W168,Relaciones!$A$4:$D$108,2)),"")</f>
        <v/>
      </c>
      <c r="Z168" s="146" t="str">
        <f t="shared" si="416"/>
        <v/>
      </c>
      <c r="AA168" s="146" t="str">
        <f t="shared" si="417"/>
        <v/>
      </c>
      <c r="AB168" s="147" t="str">
        <f t="shared" si="418"/>
        <v/>
      </c>
      <c r="AC168" s="147" t="str">
        <f t="shared" si="419"/>
        <v/>
      </c>
      <c r="AD168" s="147" t="str">
        <f t="shared" si="420"/>
        <v/>
      </c>
      <c r="AE168" s="148">
        <f t="shared" si="421"/>
        <v>0</v>
      </c>
      <c r="AF168" s="148">
        <f t="shared" si="421"/>
        <v>0</v>
      </c>
      <c r="AG168" s="148">
        <f t="shared" si="421"/>
        <v>0</v>
      </c>
      <c r="AH168" s="148">
        <f t="shared" si="422"/>
        <v>0</v>
      </c>
      <c r="AI168" s="147">
        <f t="shared" si="423"/>
        <v>0</v>
      </c>
      <c r="AJ168" s="149">
        <f>IF(AI168&gt;0,I168*VLOOKUP(T168,'$ alcantarillado'!$I$6:$K$22,3),0)</f>
        <v>0</v>
      </c>
      <c r="AK168" s="149">
        <f t="shared" si="367"/>
        <v>0</v>
      </c>
      <c r="AL168" s="149">
        <f t="shared" si="368"/>
        <v>0</v>
      </c>
      <c r="AM168" s="149">
        <f t="shared" si="382"/>
        <v>0</v>
      </c>
      <c r="AN168" s="175">
        <v>0</v>
      </c>
      <c r="AO168" s="150" t="str">
        <f t="shared" si="369"/>
        <v/>
      </c>
      <c r="AP168" s="219"/>
      <c r="AQ168" s="142">
        <v>1</v>
      </c>
      <c r="AR168" s="165">
        <v>4</v>
      </c>
    </row>
    <row r="169" spans="1:44" x14ac:dyDescent="0.25">
      <c r="A169" s="230"/>
      <c r="B169" s="230"/>
      <c r="C169" s="230"/>
      <c r="D169" s="230"/>
      <c r="E169" s="151">
        <v>4</v>
      </c>
      <c r="F169" s="128">
        <f t="shared" si="424"/>
        <v>46.129999999999995</v>
      </c>
      <c r="G169" s="151">
        <v>4</v>
      </c>
      <c r="H169" s="128">
        <f t="shared" si="425"/>
        <v>47.195</v>
      </c>
      <c r="I169" s="142">
        <f t="shared" si="425"/>
        <v>80</v>
      </c>
      <c r="J169" s="143">
        <f>+(F169-H169)/I169</f>
        <v>-1.331250000000006E-2</v>
      </c>
      <c r="K169" s="142">
        <f t="shared" si="426"/>
        <v>948</v>
      </c>
      <c r="L169" s="128">
        <f t="shared" si="371"/>
        <v>13.275700000000001</v>
      </c>
      <c r="M169" s="144">
        <f t="shared" si="414"/>
        <v>1.32757E-2</v>
      </c>
      <c r="N169" s="144">
        <f t="shared" si="360"/>
        <v>0</v>
      </c>
      <c r="O169" s="144">
        <f t="shared" si="361"/>
        <v>0</v>
      </c>
      <c r="P169" s="145">
        <f t="shared" si="362"/>
        <v>0</v>
      </c>
      <c r="Q169" s="113" t="str">
        <f>IF(O169&gt;0,VLOOKUP(P169,'$ alcantarillado'!$I$5:$L$22,4,FALSE),"0")</f>
        <v>0</v>
      </c>
      <c r="R169" s="113" t="str">
        <f t="shared" si="363"/>
        <v/>
      </c>
      <c r="S169" s="146">
        <f t="shared" si="364"/>
        <v>0</v>
      </c>
      <c r="T169" s="145">
        <f>+IF(S169&gt;$B$13,VLOOKUP(P169,'$ alcantarillado'!$I$6:$N$22,5),P169)</f>
        <v>0</v>
      </c>
      <c r="U169" s="113" t="str">
        <f>IF(O169&gt;0,VLOOKUP(T169,'$ alcantarillado'!$I$5:$L$22,4),"0")</f>
        <v>0</v>
      </c>
      <c r="V169" s="113" t="str">
        <f t="shared" si="365"/>
        <v/>
      </c>
      <c r="W169" s="146">
        <f t="shared" si="366"/>
        <v>0</v>
      </c>
      <c r="X169" s="146" t="str">
        <f t="shared" si="415"/>
        <v/>
      </c>
      <c r="Y169" s="113" t="str">
        <f>IF(T169&gt;0,(VLOOKUP($W169,Relaciones!$A$4:$D$108,2)),"")</f>
        <v/>
      </c>
      <c r="Z169" s="146" t="str">
        <f t="shared" si="416"/>
        <v/>
      </c>
      <c r="AA169" s="146" t="str">
        <f t="shared" si="417"/>
        <v/>
      </c>
      <c r="AB169" s="147" t="str">
        <f t="shared" si="418"/>
        <v/>
      </c>
      <c r="AC169" s="147" t="str">
        <f t="shared" si="419"/>
        <v/>
      </c>
      <c r="AD169" s="147" t="str">
        <f t="shared" si="420"/>
        <v/>
      </c>
      <c r="AE169" s="148">
        <f t="shared" si="421"/>
        <v>0</v>
      </c>
      <c r="AF169" s="148">
        <f t="shared" si="421"/>
        <v>0</v>
      </c>
      <c r="AG169" s="148">
        <f t="shared" si="421"/>
        <v>0</v>
      </c>
      <c r="AH169" s="148">
        <f t="shared" si="422"/>
        <v>0</v>
      </c>
      <c r="AI169" s="147">
        <f t="shared" si="423"/>
        <v>0</v>
      </c>
      <c r="AJ169" s="149">
        <f>IF(AI169&gt;0,I169*VLOOKUP(T169,'$ alcantarillado'!$I$6:$K$22,3),0)</f>
        <v>0</v>
      </c>
      <c r="AK169" s="149">
        <f t="shared" si="367"/>
        <v>0</v>
      </c>
      <c r="AL169" s="149">
        <f t="shared" si="368"/>
        <v>0</v>
      </c>
      <c r="AM169" s="149">
        <f t="shared" si="382"/>
        <v>0</v>
      </c>
      <c r="AN169" s="175">
        <v>0</v>
      </c>
      <c r="AO169" s="150" t="str">
        <f t="shared" si="369"/>
        <v/>
      </c>
      <c r="AP169" s="219"/>
      <c r="AQ169" s="142"/>
      <c r="AR169" s="165"/>
    </row>
    <row r="170" spans="1:44" ht="15.75" thickBot="1" x14ac:dyDescent="0.3">
      <c r="A170" s="230"/>
      <c r="B170" s="230"/>
      <c r="C170" s="230"/>
      <c r="D170" s="230"/>
      <c r="E170" s="152">
        <v>5</v>
      </c>
      <c r="F170" s="153">
        <f t="shared" si="424"/>
        <v>45.629999999999995</v>
      </c>
      <c r="G170" s="152">
        <v>4</v>
      </c>
      <c r="H170" s="153">
        <f>+H169</f>
        <v>47.195</v>
      </c>
      <c r="I170" s="154">
        <f>+I169</f>
        <v>80</v>
      </c>
      <c r="J170" s="155">
        <f t="shared" si="370"/>
        <v>-1.9562500000000059E-2</v>
      </c>
      <c r="K170" s="154">
        <f>+K169</f>
        <v>948</v>
      </c>
      <c r="L170" s="153">
        <f t="shared" si="371"/>
        <v>13.275700000000001</v>
      </c>
      <c r="M170" s="156">
        <f t="shared" si="414"/>
        <v>1.32757E-2</v>
      </c>
      <c r="N170" s="156">
        <f t="shared" si="360"/>
        <v>0</v>
      </c>
      <c r="O170" s="156">
        <f t="shared" si="361"/>
        <v>0</v>
      </c>
      <c r="P170" s="157">
        <f t="shared" si="362"/>
        <v>0</v>
      </c>
      <c r="Q170" s="113" t="str">
        <f>IF(O170&gt;0,VLOOKUP(P170,'$ alcantarillado'!$I$5:$L$22,4,FALSE),"0")</f>
        <v>0</v>
      </c>
      <c r="R170" s="160" t="str">
        <f t="shared" si="363"/>
        <v/>
      </c>
      <c r="S170" s="146">
        <f t="shared" si="364"/>
        <v>0</v>
      </c>
      <c r="T170" s="145">
        <f>+IF(S170&gt;$B$13,VLOOKUP(P170,'$ alcantarillado'!$I$6:$N$22,5),P170)</f>
        <v>0</v>
      </c>
      <c r="U170" s="113" t="str">
        <f>IF(O170&gt;0,VLOOKUP(T170,'$ alcantarillado'!$I$5:$L$22,4),"0")</f>
        <v>0</v>
      </c>
      <c r="V170" s="113" t="str">
        <f t="shared" si="365"/>
        <v/>
      </c>
      <c r="W170" s="146">
        <f t="shared" si="366"/>
        <v>0</v>
      </c>
      <c r="X170" s="146" t="str">
        <f t="shared" si="415"/>
        <v/>
      </c>
      <c r="Y170" s="113" t="str">
        <f>IF(T170&gt;0,(VLOOKUP($W170,Relaciones!$A$4:$D$108,2)),"")</f>
        <v/>
      </c>
      <c r="Z170" s="146" t="str">
        <f t="shared" si="416"/>
        <v/>
      </c>
      <c r="AA170" s="146" t="str">
        <f t="shared" si="417"/>
        <v/>
      </c>
      <c r="AB170" s="147" t="str">
        <f t="shared" si="418"/>
        <v/>
      </c>
      <c r="AC170" s="147" t="str">
        <f t="shared" si="419"/>
        <v/>
      </c>
      <c r="AD170" s="147" t="str">
        <f t="shared" si="420"/>
        <v/>
      </c>
      <c r="AE170" s="148">
        <f t="shared" si="421"/>
        <v>0</v>
      </c>
      <c r="AF170" s="148">
        <f t="shared" si="421"/>
        <v>0</v>
      </c>
      <c r="AG170" s="148">
        <f t="shared" si="421"/>
        <v>0</v>
      </c>
      <c r="AH170" s="148">
        <f t="shared" si="422"/>
        <v>0</v>
      </c>
      <c r="AI170" s="147">
        <f t="shared" si="423"/>
        <v>0</v>
      </c>
      <c r="AJ170" s="158">
        <f>IF(AI170&gt;0,I170*VLOOKUP(T170,'$ alcantarillado'!$I$6:$K$22,3),0)</f>
        <v>0</v>
      </c>
      <c r="AK170" s="149">
        <f t="shared" si="367"/>
        <v>0</v>
      </c>
      <c r="AL170" s="149">
        <f t="shared" si="368"/>
        <v>0</v>
      </c>
      <c r="AM170" s="158">
        <f t="shared" si="382"/>
        <v>0</v>
      </c>
      <c r="AN170" s="175">
        <v>0</v>
      </c>
      <c r="AO170" s="159" t="str">
        <f t="shared" si="369"/>
        <v/>
      </c>
      <c r="AP170" s="220"/>
      <c r="AQ170" s="154"/>
      <c r="AR170" s="166"/>
    </row>
    <row r="171" spans="1:44" x14ac:dyDescent="0.25">
      <c r="A171" s="230"/>
      <c r="B171" s="230"/>
      <c r="C171" s="230"/>
      <c r="D171" s="230"/>
      <c r="E171" s="127">
        <v>1</v>
      </c>
      <c r="F171" s="132">
        <f>+$D$151-$B$5</f>
        <v>47.629999999999995</v>
      </c>
      <c r="G171" s="127">
        <v>5</v>
      </c>
      <c r="H171" s="132">
        <f>+H161-2*$B$15</f>
        <v>47.07</v>
      </c>
      <c r="I171" s="142">
        <f>+I166</f>
        <v>80</v>
      </c>
      <c r="J171" s="143">
        <f>+(F171-H171)/I171</f>
        <v>6.9999999999999394E-3</v>
      </c>
      <c r="K171" s="142">
        <f>+K166</f>
        <v>948</v>
      </c>
      <c r="L171" s="132">
        <f>IF(K171&lt;38,K171^0.3686*0.7401,IF(K171&lt;235,K171^0.4193*0.6215,IF(K171&lt;932,K171*0.0092+4.2493,K171*0.0069+6.7345)))</f>
        <v>13.275700000000001</v>
      </c>
      <c r="M171" s="133">
        <f>+L171/1000</f>
        <v>1.32757E-2</v>
      </c>
      <c r="N171" s="133">
        <f t="shared" si="360"/>
        <v>0.13805334882615183</v>
      </c>
      <c r="O171" s="133">
        <f t="shared" si="361"/>
        <v>5.435171213628025</v>
      </c>
      <c r="P171" s="134">
        <f t="shared" si="362"/>
        <v>6</v>
      </c>
      <c r="Q171" s="135">
        <f>IF(O171&gt;0,VLOOKUP(P171,'$ alcantarillado'!$I$5:$L$22,4,FALSE),"0")</f>
        <v>0.14499999999999999</v>
      </c>
      <c r="R171" s="135">
        <f t="shared" si="363"/>
        <v>1.51326009498776E-2</v>
      </c>
      <c r="S171" s="136">
        <f t="shared" si="364"/>
        <v>0.87729135552916171</v>
      </c>
      <c r="T171" s="134">
        <f>+IF(S171&gt;$B$13,VLOOKUP(P171,'$ alcantarillado'!$I$6:$N$22,5),P171)</f>
        <v>8</v>
      </c>
      <c r="U171" s="135">
        <f>IF(O171&gt;0,VLOOKUP(T171,'$ alcantarillado'!$I$5:$L$22,4),"0")</f>
        <v>0.182</v>
      </c>
      <c r="V171" s="135">
        <f t="shared" si="365"/>
        <v>2.7741031688891745E-2</v>
      </c>
      <c r="W171" s="136">
        <f t="shared" si="366"/>
        <v>0.47855826520381167</v>
      </c>
      <c r="X171" s="136">
        <f>IF(T171&gt;0,4*V171/(PI()*(U171)^2),"")</f>
        <v>1.0663258832884992</v>
      </c>
      <c r="Y171" s="135">
        <f>IF(T171&gt;0,(VLOOKUP($W171,Relaciones!$A$4:$D$108,2)),"")</f>
        <v>0.83399999999999996</v>
      </c>
      <c r="Z171" s="136">
        <f>IF(T171&gt;0,Y171*X171,"")</f>
        <v>0.88931578666260824</v>
      </c>
      <c r="AA171" s="136">
        <f>IF(T171&gt;0,250*U171*J171,"")</f>
        <v>0.31849999999999723</v>
      </c>
      <c r="AB171" s="137" t="str">
        <f>IF(T171&gt;0,IF(W171&lt;=$B$13,"OK","No Cumple"),"")</f>
        <v>OK</v>
      </c>
      <c r="AC171" s="137" t="str">
        <f>IF(T171&gt;0,IF(Z171&gt;=$B$12,"OK","No Cumple"),"")</f>
        <v>OK</v>
      </c>
      <c r="AD171" s="137" t="str">
        <f>IF(T171&gt;0,IF(AA171&gt;$B$14,"OK","No Cumple"),"")</f>
        <v>OK</v>
      </c>
      <c r="AE171" s="138">
        <f>+IF(AB171="OK",1,0)</f>
        <v>1</v>
      </c>
      <c r="AF171" s="138">
        <f>+IF(AC171="OK",1,0)</f>
        <v>1</v>
      </c>
      <c r="AG171" s="138">
        <f>+IF(AD171="OK",1,0)</f>
        <v>1</v>
      </c>
      <c r="AH171" s="138">
        <f>SUM(AE171:AG171)</f>
        <v>3</v>
      </c>
      <c r="AI171" s="137">
        <f>IF(AH171=3,2*$B$7+U171,0)</f>
        <v>0.68199999999999994</v>
      </c>
      <c r="AJ171" s="139">
        <f>IF(AI171&gt;0,I171*VLOOKUP(T171,'$ alcantarillado'!$I$6:$K$22,3),0)</f>
        <v>2654586.666666667</v>
      </c>
      <c r="AK171" s="139">
        <f t="shared" si="367"/>
        <v>2404131.8400000036</v>
      </c>
      <c r="AL171" s="139">
        <f t="shared" si="368"/>
        <v>964609.74200000195</v>
      </c>
      <c r="AM171" s="139">
        <f>IF(AJ171&gt;0,AJ171+AK171+AL171,0)</f>
        <v>6023328.248666672</v>
      </c>
      <c r="AN171" s="174">
        <v>0</v>
      </c>
      <c r="AO171" s="140">
        <f t="shared" si="369"/>
        <v>6023328.248666672</v>
      </c>
      <c r="AP171" s="217">
        <f t="shared" ref="AP171" si="427">+MIN(AO171:AO175)</f>
        <v>6023328.248666672</v>
      </c>
      <c r="AQ171" s="142"/>
      <c r="AR171" s="165"/>
    </row>
    <row r="172" spans="1:44" x14ac:dyDescent="0.25">
      <c r="A172" s="230"/>
      <c r="B172" s="230"/>
      <c r="C172" s="230"/>
      <c r="D172" s="230"/>
      <c r="E172" s="141">
        <v>2</v>
      </c>
      <c r="F172" s="128">
        <f>+F171-$B$4</f>
        <v>47.129999999999995</v>
      </c>
      <c r="G172" s="141">
        <v>5</v>
      </c>
      <c r="H172" s="128">
        <f>+H171</f>
        <v>47.07</v>
      </c>
      <c r="I172" s="142">
        <f>+I171</f>
        <v>80</v>
      </c>
      <c r="J172" s="143">
        <f t="shared" si="370"/>
        <v>7.4999999999993963E-4</v>
      </c>
      <c r="K172" s="142">
        <f>+K171</f>
        <v>948</v>
      </c>
      <c r="L172" s="128">
        <f t="shared" si="371"/>
        <v>13.275700000000001</v>
      </c>
      <c r="M172" s="144">
        <f t="shared" ref="M172:M175" si="428">+L172/1000</f>
        <v>1.32757E-2</v>
      </c>
      <c r="N172" s="144">
        <f t="shared" si="360"/>
        <v>0.20985960041682264</v>
      </c>
      <c r="O172" s="144">
        <f t="shared" si="361"/>
        <v>8.2621889927882926</v>
      </c>
      <c r="P172" s="145">
        <f t="shared" si="362"/>
        <v>10</v>
      </c>
      <c r="Q172" s="113">
        <f>IF(O172&gt;0,VLOOKUP(P172,'$ alcantarillado'!$I$5:$L$22,4,FALSE),"0")</f>
        <v>0.22700000000000001</v>
      </c>
      <c r="R172" s="113">
        <f t="shared" si="363"/>
        <v>1.636751715152987E-2</v>
      </c>
      <c r="S172" s="146">
        <f t="shared" si="364"/>
        <v>0.8111004178027772</v>
      </c>
      <c r="T172" s="145">
        <f>+IF(S172&gt;$B$13,VLOOKUP(P172,'$ alcantarillado'!$I$6:$N$22,5),P172)</f>
        <v>10</v>
      </c>
      <c r="U172" s="113">
        <f>IF(O172&gt;0,VLOOKUP(T172,'$ alcantarillado'!$I$5:$L$22,4),"0")</f>
        <v>0.22700000000000001</v>
      </c>
      <c r="V172" s="113">
        <f t="shared" si="365"/>
        <v>1.636751715152987E-2</v>
      </c>
      <c r="W172" s="146">
        <f t="shared" si="366"/>
        <v>0.8111004178027772</v>
      </c>
      <c r="X172" s="146">
        <f t="shared" ref="X172:X175" si="429">IF(T172&gt;0,4*V172/(PI()*(U172)^2),"")</f>
        <v>0.40442799368237031</v>
      </c>
      <c r="Y172" s="113">
        <f>IF(T172&gt;0,(VLOOKUP($W172,Relaciones!$A$4:$D$108,2)),"")</f>
        <v>0.98699999999999999</v>
      </c>
      <c r="Z172" s="146">
        <f t="shared" ref="Z172:Z175" si="430">IF(T172&gt;0,Y172*X172,"")</f>
        <v>0.39917042976449951</v>
      </c>
      <c r="AA172" s="146">
        <f t="shared" ref="AA172:AA175" si="431">IF(T172&gt;0,250*U172*J172,"")</f>
        <v>4.2562499999996575E-2</v>
      </c>
      <c r="AB172" s="147" t="str">
        <f t="shared" ref="AB172:AB175" si="432">IF(T172&gt;0,IF(W172&lt;=$B$13,"OK","No Cumple"),"")</f>
        <v>OK</v>
      </c>
      <c r="AC172" s="147" t="str">
        <f t="shared" ref="AC172:AC175" si="433">IF(T172&gt;0,IF(Z172&gt;=$B$12,"OK","No Cumple"),"")</f>
        <v>No Cumple</v>
      </c>
      <c r="AD172" s="147" t="str">
        <f t="shared" ref="AD172:AD175" si="434">IF(T172&gt;0,IF(AA172&gt;$B$14,"OK","No Cumple"),"")</f>
        <v>No Cumple</v>
      </c>
      <c r="AE172" s="148">
        <f t="shared" ref="AE172:AG175" si="435">+IF(AB172="OK",1,0)</f>
        <v>1</v>
      </c>
      <c r="AF172" s="148">
        <f t="shared" si="435"/>
        <v>0</v>
      </c>
      <c r="AG172" s="148">
        <f t="shared" si="435"/>
        <v>0</v>
      </c>
      <c r="AH172" s="148">
        <f t="shared" ref="AH172:AH175" si="436">SUM(AE172:AG172)</f>
        <v>1</v>
      </c>
      <c r="AI172" s="147">
        <f t="shared" ref="AI172:AI175" si="437">IF(AH172=3,2*$B$7+U172,0)</f>
        <v>0</v>
      </c>
      <c r="AJ172" s="149">
        <f>IF(AI172&gt;0,I172*VLOOKUP(T172,'$ alcantarillado'!$I$6:$K$22,3),0)</f>
        <v>0</v>
      </c>
      <c r="AK172" s="149">
        <f t="shared" si="367"/>
        <v>0</v>
      </c>
      <c r="AL172" s="149">
        <f t="shared" si="368"/>
        <v>0</v>
      </c>
      <c r="AM172" s="149">
        <f t="shared" si="382"/>
        <v>0</v>
      </c>
      <c r="AN172" s="175">
        <v>0</v>
      </c>
      <c r="AO172" s="150" t="str">
        <f t="shared" si="369"/>
        <v/>
      </c>
      <c r="AP172" s="218"/>
      <c r="AQ172" s="142"/>
      <c r="AR172" s="165"/>
    </row>
    <row r="173" spans="1:44" x14ac:dyDescent="0.25">
      <c r="A173" s="230"/>
      <c r="B173" s="230"/>
      <c r="C173" s="230"/>
      <c r="D173" s="230"/>
      <c r="E173" s="151">
        <v>3</v>
      </c>
      <c r="F173" s="128">
        <f t="shared" ref="F173:F175" si="438">+F172-$B$4</f>
        <v>46.629999999999995</v>
      </c>
      <c r="G173" s="151">
        <v>5</v>
      </c>
      <c r="H173" s="128">
        <f t="shared" ref="H173:I174" si="439">+H172</f>
        <v>47.07</v>
      </c>
      <c r="I173" s="142">
        <f t="shared" si="439"/>
        <v>80</v>
      </c>
      <c r="J173" s="143">
        <f t="shared" si="370"/>
        <v>-5.5000000000000604E-3</v>
      </c>
      <c r="K173" s="142">
        <f t="shared" ref="K173:K174" si="440">+K172</f>
        <v>948</v>
      </c>
      <c r="L173" s="128">
        <f t="shared" si="371"/>
        <v>13.275700000000001</v>
      </c>
      <c r="M173" s="144">
        <f t="shared" si="428"/>
        <v>1.32757E-2</v>
      </c>
      <c r="N173" s="144">
        <f t="shared" si="360"/>
        <v>0</v>
      </c>
      <c r="O173" s="144">
        <f t="shared" si="361"/>
        <v>0</v>
      </c>
      <c r="P173" s="145">
        <f t="shared" si="362"/>
        <v>0</v>
      </c>
      <c r="Q173" s="113" t="str">
        <f>IF(O173&gt;0,VLOOKUP(P173,'$ alcantarillado'!$I$5:$L$22,4,FALSE),"0")</f>
        <v>0</v>
      </c>
      <c r="R173" s="113" t="str">
        <f t="shared" si="363"/>
        <v/>
      </c>
      <c r="S173" s="146">
        <f t="shared" si="364"/>
        <v>0</v>
      </c>
      <c r="T173" s="145">
        <f>+IF(S173&gt;$B$13,VLOOKUP(P173,'$ alcantarillado'!$I$6:$N$22,5),P173)</f>
        <v>0</v>
      </c>
      <c r="U173" s="113" t="str">
        <f>IF(O173&gt;0,VLOOKUP(T173,'$ alcantarillado'!$I$5:$L$22,4),"0")</f>
        <v>0</v>
      </c>
      <c r="V173" s="113" t="str">
        <f t="shared" si="365"/>
        <v/>
      </c>
      <c r="W173" s="146">
        <f t="shared" si="366"/>
        <v>0</v>
      </c>
      <c r="X173" s="146" t="str">
        <f t="shared" si="429"/>
        <v/>
      </c>
      <c r="Y173" s="113" t="str">
        <f>IF(T173&gt;0,(VLOOKUP($W173,Relaciones!$A$4:$D$108,2)),"")</f>
        <v/>
      </c>
      <c r="Z173" s="146" t="str">
        <f t="shared" si="430"/>
        <v/>
      </c>
      <c r="AA173" s="146" t="str">
        <f t="shared" si="431"/>
        <v/>
      </c>
      <c r="AB173" s="147" t="str">
        <f t="shared" si="432"/>
        <v/>
      </c>
      <c r="AC173" s="147" t="str">
        <f t="shared" si="433"/>
        <v/>
      </c>
      <c r="AD173" s="147" t="str">
        <f t="shared" si="434"/>
        <v/>
      </c>
      <c r="AE173" s="148">
        <f t="shared" si="435"/>
        <v>0</v>
      </c>
      <c r="AF173" s="148">
        <f t="shared" si="435"/>
        <v>0</v>
      </c>
      <c r="AG173" s="148">
        <f t="shared" si="435"/>
        <v>0</v>
      </c>
      <c r="AH173" s="148">
        <f t="shared" si="436"/>
        <v>0</v>
      </c>
      <c r="AI173" s="147">
        <f t="shared" si="437"/>
        <v>0</v>
      </c>
      <c r="AJ173" s="149">
        <f>IF(AI173&gt;0,I173*VLOOKUP(T173,'$ alcantarillado'!$I$6:$K$22,3),0)</f>
        <v>0</v>
      </c>
      <c r="AK173" s="149">
        <f t="shared" si="367"/>
        <v>0</v>
      </c>
      <c r="AL173" s="149">
        <f t="shared" si="368"/>
        <v>0</v>
      </c>
      <c r="AM173" s="149">
        <f t="shared" si="382"/>
        <v>0</v>
      </c>
      <c r="AN173" s="175">
        <v>0</v>
      </c>
      <c r="AO173" s="150" t="str">
        <f t="shared" si="369"/>
        <v/>
      </c>
      <c r="AP173" s="219"/>
      <c r="AQ173" s="142">
        <v>1</v>
      </c>
      <c r="AR173" s="165">
        <v>5</v>
      </c>
    </row>
    <row r="174" spans="1:44" x14ac:dyDescent="0.25">
      <c r="A174" s="230"/>
      <c r="B174" s="230"/>
      <c r="C174" s="230"/>
      <c r="D174" s="230"/>
      <c r="E174" s="151">
        <v>4</v>
      </c>
      <c r="F174" s="128">
        <f t="shared" si="438"/>
        <v>46.129999999999995</v>
      </c>
      <c r="G174" s="151">
        <v>5</v>
      </c>
      <c r="H174" s="128">
        <f t="shared" si="439"/>
        <v>47.07</v>
      </c>
      <c r="I174" s="142">
        <f t="shared" si="439"/>
        <v>80</v>
      </c>
      <c r="J174" s="143">
        <f>+(F174-H174)/I174</f>
        <v>-1.1750000000000061E-2</v>
      </c>
      <c r="K174" s="142">
        <f t="shared" si="440"/>
        <v>948</v>
      </c>
      <c r="L174" s="128">
        <f t="shared" si="371"/>
        <v>13.275700000000001</v>
      </c>
      <c r="M174" s="144">
        <f t="shared" si="428"/>
        <v>1.32757E-2</v>
      </c>
      <c r="N174" s="144">
        <f t="shared" si="360"/>
        <v>0</v>
      </c>
      <c r="O174" s="144">
        <f t="shared" si="361"/>
        <v>0</v>
      </c>
      <c r="P174" s="145">
        <f t="shared" si="362"/>
        <v>0</v>
      </c>
      <c r="Q174" s="113" t="str">
        <f>IF(O174&gt;0,VLOOKUP(P174,'$ alcantarillado'!$I$5:$L$22,4,FALSE),"0")</f>
        <v>0</v>
      </c>
      <c r="R174" s="113" t="str">
        <f t="shared" si="363"/>
        <v/>
      </c>
      <c r="S174" s="146">
        <f t="shared" si="364"/>
        <v>0</v>
      </c>
      <c r="T174" s="145">
        <f>+IF(S174&gt;$B$13,VLOOKUP(P174,'$ alcantarillado'!$I$6:$N$22,5),P174)</f>
        <v>0</v>
      </c>
      <c r="U174" s="113" t="str">
        <f>IF(O174&gt;0,VLOOKUP(T174,'$ alcantarillado'!$I$5:$L$22,4),"0")</f>
        <v>0</v>
      </c>
      <c r="V174" s="113" t="str">
        <f t="shared" si="365"/>
        <v/>
      </c>
      <c r="W174" s="146">
        <f t="shared" si="366"/>
        <v>0</v>
      </c>
      <c r="X174" s="146" t="str">
        <f t="shared" si="429"/>
        <v/>
      </c>
      <c r="Y174" s="113" t="str">
        <f>IF(T174&gt;0,(VLOOKUP($W174,Relaciones!$A$4:$D$108,2)),"")</f>
        <v/>
      </c>
      <c r="Z174" s="146" t="str">
        <f t="shared" si="430"/>
        <v/>
      </c>
      <c r="AA174" s="146" t="str">
        <f t="shared" si="431"/>
        <v/>
      </c>
      <c r="AB174" s="147" t="str">
        <f t="shared" si="432"/>
        <v/>
      </c>
      <c r="AC174" s="147" t="str">
        <f t="shared" si="433"/>
        <v/>
      </c>
      <c r="AD174" s="147" t="str">
        <f t="shared" si="434"/>
        <v/>
      </c>
      <c r="AE174" s="148">
        <f t="shared" si="435"/>
        <v>0</v>
      </c>
      <c r="AF174" s="148">
        <f t="shared" si="435"/>
        <v>0</v>
      </c>
      <c r="AG174" s="148">
        <f t="shared" si="435"/>
        <v>0</v>
      </c>
      <c r="AH174" s="148">
        <f t="shared" si="436"/>
        <v>0</v>
      </c>
      <c r="AI174" s="147">
        <f t="shared" si="437"/>
        <v>0</v>
      </c>
      <c r="AJ174" s="149">
        <f>IF(AI174&gt;0,I174*VLOOKUP(T174,'$ alcantarillado'!$I$6:$K$22,3),0)</f>
        <v>0</v>
      </c>
      <c r="AK174" s="149">
        <f t="shared" si="367"/>
        <v>0</v>
      </c>
      <c r="AL174" s="149">
        <f t="shared" si="368"/>
        <v>0</v>
      </c>
      <c r="AM174" s="149">
        <f t="shared" si="382"/>
        <v>0</v>
      </c>
      <c r="AN174" s="175">
        <v>0</v>
      </c>
      <c r="AO174" s="150" t="str">
        <f t="shared" si="369"/>
        <v/>
      </c>
      <c r="AP174" s="219"/>
      <c r="AQ174" s="142"/>
      <c r="AR174" s="165"/>
    </row>
    <row r="175" spans="1:44" ht="15.75" thickBot="1" x14ac:dyDescent="0.3">
      <c r="A175" s="231"/>
      <c r="B175" s="231"/>
      <c r="C175" s="231"/>
      <c r="D175" s="231"/>
      <c r="E175" s="152">
        <v>5</v>
      </c>
      <c r="F175" s="153">
        <f t="shared" si="438"/>
        <v>45.629999999999995</v>
      </c>
      <c r="G175" s="152">
        <v>5</v>
      </c>
      <c r="H175" s="153">
        <f>+H174</f>
        <v>47.07</v>
      </c>
      <c r="I175" s="154">
        <f>+I174</f>
        <v>80</v>
      </c>
      <c r="J175" s="155">
        <f t="shared" si="370"/>
        <v>-1.8000000000000061E-2</v>
      </c>
      <c r="K175" s="154">
        <f>+K174</f>
        <v>948</v>
      </c>
      <c r="L175" s="153">
        <f t="shared" si="371"/>
        <v>13.275700000000001</v>
      </c>
      <c r="M175" s="156">
        <f t="shared" si="428"/>
        <v>1.32757E-2</v>
      </c>
      <c r="N175" s="156">
        <f t="shared" si="360"/>
        <v>0</v>
      </c>
      <c r="O175" s="156">
        <f t="shared" si="361"/>
        <v>0</v>
      </c>
      <c r="P175" s="157">
        <f t="shared" si="362"/>
        <v>0</v>
      </c>
      <c r="Q175" s="113" t="str">
        <f>IF(O175&gt;0,VLOOKUP(P175,'$ alcantarillado'!$I$5:$L$22,4,FALSE),"0")</f>
        <v>0</v>
      </c>
      <c r="R175" s="160" t="str">
        <f t="shared" si="363"/>
        <v/>
      </c>
      <c r="S175" s="146">
        <f t="shared" si="364"/>
        <v>0</v>
      </c>
      <c r="T175" s="145">
        <f>+IF(S175&gt;$B$13,VLOOKUP(P175,'$ alcantarillado'!$I$6:$N$22,5),P175)</f>
        <v>0</v>
      </c>
      <c r="U175" s="113" t="str">
        <f>IF(O175&gt;0,VLOOKUP(T175,'$ alcantarillado'!$I$5:$L$22,4),"0")</f>
        <v>0</v>
      </c>
      <c r="V175" s="113" t="str">
        <f t="shared" si="365"/>
        <v/>
      </c>
      <c r="W175" s="146">
        <f t="shared" si="366"/>
        <v>0</v>
      </c>
      <c r="X175" s="146" t="str">
        <f t="shared" si="429"/>
        <v/>
      </c>
      <c r="Y175" s="113" t="str">
        <f>IF(T175&gt;0,(VLOOKUP($W175,Relaciones!$A$4:$D$108,2)),"")</f>
        <v/>
      </c>
      <c r="Z175" s="146" t="str">
        <f t="shared" si="430"/>
        <v/>
      </c>
      <c r="AA175" s="146" t="str">
        <f t="shared" si="431"/>
        <v/>
      </c>
      <c r="AB175" s="147" t="str">
        <f t="shared" si="432"/>
        <v/>
      </c>
      <c r="AC175" s="147" t="str">
        <f t="shared" si="433"/>
        <v/>
      </c>
      <c r="AD175" s="147" t="str">
        <f t="shared" si="434"/>
        <v/>
      </c>
      <c r="AE175" s="148">
        <f t="shared" si="435"/>
        <v>0</v>
      </c>
      <c r="AF175" s="148">
        <f t="shared" si="435"/>
        <v>0</v>
      </c>
      <c r="AG175" s="148">
        <f t="shared" si="435"/>
        <v>0</v>
      </c>
      <c r="AH175" s="148">
        <f t="shared" si="436"/>
        <v>0</v>
      </c>
      <c r="AI175" s="147">
        <f t="shared" si="437"/>
        <v>0</v>
      </c>
      <c r="AJ175" s="158">
        <f>IF(AI175&gt;0,I175*VLOOKUP(T175,'$ alcantarillado'!$I$6:$K$22,3),0)</f>
        <v>0</v>
      </c>
      <c r="AK175" s="149">
        <f t="shared" si="367"/>
        <v>0</v>
      </c>
      <c r="AL175" s="149">
        <f t="shared" si="368"/>
        <v>0</v>
      </c>
      <c r="AM175" s="158">
        <f t="shared" si="382"/>
        <v>0</v>
      </c>
      <c r="AN175" s="175">
        <v>0</v>
      </c>
      <c r="AO175" s="159" t="str">
        <f t="shared" si="369"/>
        <v/>
      </c>
      <c r="AP175" s="220"/>
      <c r="AQ175" s="142"/>
      <c r="AR175" s="165"/>
    </row>
    <row r="176" spans="1:44" x14ac:dyDescent="0.25">
      <c r="A176" s="210">
        <v>7</v>
      </c>
      <c r="B176" s="210">
        <v>4</v>
      </c>
      <c r="C176" s="210">
        <v>5</v>
      </c>
      <c r="D176" s="210">
        <v>49.02</v>
      </c>
      <c r="E176" s="4">
        <v>1</v>
      </c>
      <c r="F176" s="7">
        <f>+H151</f>
        <v>47.57</v>
      </c>
      <c r="G176" s="4">
        <v>1</v>
      </c>
      <c r="H176" s="64">
        <f>+H186+2*$B$15</f>
        <v>47.14</v>
      </c>
      <c r="I176" s="7">
        <v>80</v>
      </c>
      <c r="J176" s="17">
        <f>+(F176-H176)/I176</f>
        <v>5.3749999999999961E-3</v>
      </c>
      <c r="K176" s="32">
        <f>+K151</f>
        <v>948</v>
      </c>
      <c r="L176" s="14">
        <f>IF(K176&lt;38,K176^0.3686*0.7401,IF(K176&lt;235,K176^0.4193*0.6215,IF(K176&lt;932,K176*0.0092+4.2493,K176*0.0069+6.7345)))</f>
        <v>13.275700000000001</v>
      </c>
      <c r="M176" s="31">
        <f>+L176/1000</f>
        <v>1.32757E-2</v>
      </c>
      <c r="N176" s="31">
        <f t="shared" si="360"/>
        <v>0.1450630704499157</v>
      </c>
      <c r="O176" s="31">
        <f t="shared" si="361"/>
        <v>5.711144505902193</v>
      </c>
      <c r="P176" s="57">
        <f t="shared" si="362"/>
        <v>6</v>
      </c>
      <c r="Q176" s="60">
        <f>IF(O176&gt;0,VLOOKUP(P176,'$ alcantarillado'!$I$5:$L$22,4,FALSE),"0")</f>
        <v>0.14499999999999999</v>
      </c>
      <c r="R176" s="60">
        <f t="shared" si="363"/>
        <v>1.3260313570181519E-2</v>
      </c>
      <c r="S176" s="27">
        <f t="shared" si="364"/>
        <v>1.0011603368002608</v>
      </c>
      <c r="T176" s="57">
        <f>+IF(S176&gt;$B$13,VLOOKUP(P176,'$ alcantarillado'!$I$6:$N$22,5),P176)</f>
        <v>8</v>
      </c>
      <c r="U176" s="60">
        <f>IF(O176&gt;0,VLOOKUP(T176,'$ alcantarillado'!$I$5:$L$22,4),"0")</f>
        <v>0.182</v>
      </c>
      <c r="V176" s="60">
        <f t="shared" si="365"/>
        <v>2.4308760944232927E-2</v>
      </c>
      <c r="W176" s="27">
        <f t="shared" si="366"/>
        <v>0.54612820581254518</v>
      </c>
      <c r="X176" s="27">
        <f>IF(T176&gt;0,4*V176/(PI()*(U176)^2),"")</f>
        <v>0.9343942675314284</v>
      </c>
      <c r="Y176" s="60">
        <f>IF(T176&gt;0,(VLOOKUP($W176,Relaciones!$A$4:$D$108,2)),"")</f>
        <v>0.87</v>
      </c>
      <c r="Z176" s="27">
        <f>IF(T176&gt;0,Y176*X176,"")</f>
        <v>0.81292301275234269</v>
      </c>
      <c r="AA176" s="27">
        <f>IF(T176&gt;0,250*U176*J176,"")</f>
        <v>0.24456249999999982</v>
      </c>
      <c r="AB176" s="45" t="str">
        <f>IF(T176&gt;0,IF(W176&lt;=$B$13,"OK","No Cumple"),"")</f>
        <v>OK</v>
      </c>
      <c r="AC176" s="45" t="str">
        <f>IF(T176&gt;0,IF(Z176&gt;=$B$12,"OK","No Cumple"),"")</f>
        <v>OK</v>
      </c>
      <c r="AD176" s="45" t="str">
        <f>IF(T176&gt;0,IF(AA176&gt;$B$14,"OK","No Cumple"),"")</f>
        <v>OK</v>
      </c>
      <c r="AE176" s="32">
        <f>+IF(AB176="OK",1,0)</f>
        <v>1</v>
      </c>
      <c r="AF176" s="32">
        <f>+IF(AC176="OK",1,0)</f>
        <v>1</v>
      </c>
      <c r="AG176" s="32">
        <f>+IF(AD176="OK",1,0)</f>
        <v>1</v>
      </c>
      <c r="AH176" s="32">
        <f>SUM(AE176:AG176)</f>
        <v>3</v>
      </c>
      <c r="AI176" s="45">
        <f>IF(AH176=3,2*$B$7+U176,0)</f>
        <v>0.68199999999999994</v>
      </c>
      <c r="AJ176" s="21">
        <f>IF(AI176&gt;0,I176*VLOOKUP(T176,'$ alcantarillado'!$I$6:$K$22,3),0)</f>
        <v>2654586.666666667</v>
      </c>
      <c r="AK176" s="61">
        <f t="shared" ref="AK176:AK200" si="441">IF(N176&gt;0,((($D$176-F176)+(U176))+(($D$201-H176)+(U176))/2)*AI176*I176*$C$9,0)</f>
        <v>2649651.8400000036</v>
      </c>
      <c r="AL176" s="61">
        <f t="shared" ref="AL176:AL200" si="442">IF(AI176&gt;0,(($D$176-F176)+U176)*$C$10,0)</f>
        <v>1139104.9920000019</v>
      </c>
      <c r="AM176" s="21">
        <f>IF(AJ176&gt;0,AJ176+AK176+AL176,0)</f>
        <v>6443343.498666672</v>
      </c>
      <c r="AN176" s="81">
        <f>IF(AP151&gt;0,+AP151,0)</f>
        <v>0</v>
      </c>
      <c r="AO176" s="77" t="str">
        <f>IF((AM176)&gt;0,IF(AN176&gt;0,AM176+AN176,""),"")</f>
        <v/>
      </c>
      <c r="AP176" s="213">
        <f>+MIN(AO176:AO180)</f>
        <v>0</v>
      </c>
      <c r="AQ176" s="7"/>
      <c r="AR176" s="8"/>
    </row>
    <row r="177" spans="1:44" x14ac:dyDescent="0.25">
      <c r="A177" s="211"/>
      <c r="B177" s="211"/>
      <c r="C177" s="211"/>
      <c r="D177" s="211"/>
      <c r="E177" s="5">
        <v>2</v>
      </c>
      <c r="F177" s="2">
        <f>+H156</f>
        <v>47.445</v>
      </c>
      <c r="G177" s="5">
        <v>1</v>
      </c>
      <c r="H177" s="35">
        <f>+H176</f>
        <v>47.14</v>
      </c>
      <c r="I177" s="2">
        <f>+I176</f>
        <v>80</v>
      </c>
      <c r="J177" s="18">
        <f t="shared" ref="J177:J200" si="443">+(F177-H177)/I177</f>
        <v>3.8124999999999964E-3</v>
      </c>
      <c r="K177" s="2">
        <f>+K176</f>
        <v>948</v>
      </c>
      <c r="L177" s="15">
        <f t="shared" ref="L177:L200" si="444">IF(K177&lt;38,K177^0.3686*0.7401,IF(K177&lt;235,K177^0.4193*0.6215,IF(K177&lt;932,K177*0.0092+4.2493,K177*0.0069+6.7345)))</f>
        <v>13.275700000000001</v>
      </c>
      <c r="M177" s="33">
        <f t="shared" ref="M177:M180" si="445">+L177/1000</f>
        <v>1.32757E-2</v>
      </c>
      <c r="N177" s="33">
        <f t="shared" si="360"/>
        <v>0.15471270563132869</v>
      </c>
      <c r="O177" s="33">
        <f t="shared" si="361"/>
        <v>6.0910514028082163</v>
      </c>
      <c r="P177" s="58">
        <f t="shared" si="362"/>
        <v>8</v>
      </c>
      <c r="Q177" s="55">
        <f>IF(O177&gt;0,VLOOKUP(P177,'$ alcantarillado'!$I$5:$L$22,4,FALSE),"0")</f>
        <v>0.182</v>
      </c>
      <c r="R177" s="55">
        <f t="shared" si="363"/>
        <v>2.0472859906691582E-2</v>
      </c>
      <c r="S177" s="35">
        <f t="shared" si="364"/>
        <v>0.64845361422420611</v>
      </c>
      <c r="T177" s="58">
        <f>+IF(S177&gt;$B$13,VLOOKUP(P177,'$ alcantarillado'!$I$6:$N$22,5),P177)</f>
        <v>8</v>
      </c>
      <c r="U177" s="55">
        <f>IF(O177&gt;0,VLOOKUP(T177,'$ alcantarillado'!$I$5:$L$22,4),"0")</f>
        <v>0.182</v>
      </c>
      <c r="V177" s="55">
        <f t="shared" si="365"/>
        <v>2.0472859906691582E-2</v>
      </c>
      <c r="W177" s="35">
        <f t="shared" si="366"/>
        <v>0.64845361422420611</v>
      </c>
      <c r="X177" s="35">
        <f t="shared" ref="X177:X180" si="446">IF(T177&gt;0,4*V177/(PI()*(U177)^2),"")</f>
        <v>0.78694767621732742</v>
      </c>
      <c r="Y177" s="55">
        <f>IF(T177&gt;0,(VLOOKUP($W177,Relaciones!$A$4:$D$108,2)),"")</f>
        <v>0.91800000000000004</v>
      </c>
      <c r="Z177" s="35">
        <f t="shared" ref="Z177:Z180" si="447">IF(T177&gt;0,Y177*X177,"")</f>
        <v>0.72241796676750658</v>
      </c>
      <c r="AA177" s="35">
        <f t="shared" ref="AA177:AA180" si="448">IF(T177&gt;0,250*U177*J177,"")</f>
        <v>0.17346874999999984</v>
      </c>
      <c r="AB177" s="46" t="str">
        <f t="shared" ref="AB177:AB180" si="449">IF(T177&gt;0,IF(W177&lt;=$B$13,"OK","No Cumple"),"")</f>
        <v>OK</v>
      </c>
      <c r="AC177" s="46" t="str">
        <f t="shared" ref="AC177:AC180" si="450">IF(T177&gt;0,IF(Z177&gt;=$B$12,"OK","No Cumple"),"")</f>
        <v>OK</v>
      </c>
      <c r="AD177" s="46" t="str">
        <f t="shared" ref="AD177:AD180" si="451">IF(T177&gt;0,IF(AA177&gt;$B$14,"OK","No Cumple"),"")</f>
        <v>OK</v>
      </c>
      <c r="AE177" s="48">
        <f t="shared" ref="AE177:AG180" si="452">+IF(AB177="OK",1,0)</f>
        <v>1</v>
      </c>
      <c r="AF177" s="48">
        <f t="shared" si="452"/>
        <v>1</v>
      </c>
      <c r="AG177" s="48">
        <f t="shared" si="452"/>
        <v>1</v>
      </c>
      <c r="AH177" s="48">
        <f t="shared" ref="AH177:AH180" si="453">SUM(AE177:AG177)</f>
        <v>3</v>
      </c>
      <c r="AI177" s="46">
        <f t="shared" ref="AI177:AI180" si="454">IF(AH177=3,2*$B$7+U177,0)</f>
        <v>0.68199999999999994</v>
      </c>
      <c r="AJ177" s="20">
        <f>IF(AI177&gt;0,I177*VLOOKUP(T177,'$ alcantarillado'!$I$6:$K$22,3),0)</f>
        <v>2654586.666666667</v>
      </c>
      <c r="AK177" s="20">
        <f t="shared" si="441"/>
        <v>2772411.840000004</v>
      </c>
      <c r="AL177" s="20">
        <f t="shared" si="442"/>
        <v>1226352.6170000019</v>
      </c>
      <c r="AM177" s="20">
        <f t="shared" ref="AM177:AM200" si="455">IF(AJ177&gt;0,AJ177+AK177+AL177,0)</f>
        <v>6653351.1236666739</v>
      </c>
      <c r="AN177" s="80">
        <f>+AP156</f>
        <v>0</v>
      </c>
      <c r="AO177" s="78" t="str">
        <f t="shared" ref="AO177:AO180" si="456">IF((AM177)&gt;0,IF(AN177&gt;0,AM177+AN177,""),"")</f>
        <v/>
      </c>
      <c r="AP177" s="214"/>
      <c r="AQ177" s="2"/>
      <c r="AR177" s="9"/>
    </row>
    <row r="178" spans="1:44" x14ac:dyDescent="0.25">
      <c r="A178" s="211"/>
      <c r="B178" s="211"/>
      <c r="C178" s="211"/>
      <c r="D178" s="211"/>
      <c r="E178" s="56">
        <v>3</v>
      </c>
      <c r="F178" s="2">
        <f>+H161</f>
        <v>47.32</v>
      </c>
      <c r="G178" s="56">
        <v>1</v>
      </c>
      <c r="H178" s="2">
        <f t="shared" ref="H178:I179" si="457">+H177</f>
        <v>47.14</v>
      </c>
      <c r="I178" s="2">
        <f t="shared" si="457"/>
        <v>80</v>
      </c>
      <c r="J178" s="18">
        <f t="shared" si="443"/>
        <v>2.2499999999999964E-3</v>
      </c>
      <c r="K178" s="2">
        <f t="shared" ref="K178:K179" si="458">+K177</f>
        <v>948</v>
      </c>
      <c r="L178" s="15">
        <f t="shared" si="444"/>
        <v>13.275700000000001</v>
      </c>
      <c r="M178" s="33">
        <f t="shared" si="445"/>
        <v>1.32757E-2</v>
      </c>
      <c r="N178" s="33">
        <f t="shared" si="360"/>
        <v>0.1707924255640231</v>
      </c>
      <c r="O178" s="33">
        <f t="shared" si="361"/>
        <v>6.7241112426780756</v>
      </c>
      <c r="P178" s="58">
        <f t="shared" si="362"/>
        <v>8</v>
      </c>
      <c r="Q178" s="55">
        <f>IF(O178&gt;0,VLOOKUP(P178,'$ alcantarillado'!$I$5:$L$22,4,FALSE),"0")</f>
        <v>0.182</v>
      </c>
      <c r="R178" s="55">
        <f t="shared" si="363"/>
        <v>1.5727686634536414E-2</v>
      </c>
      <c r="S178" s="35">
        <f t="shared" si="364"/>
        <v>0.84409743838918438</v>
      </c>
      <c r="T178" s="58">
        <f>+IF(S178&gt;$B$13,VLOOKUP(P178,'$ alcantarillado'!$I$6:$N$22,5),P178)</f>
        <v>8</v>
      </c>
      <c r="U178" s="55">
        <f>IF(O178&gt;0,VLOOKUP(T178,'$ alcantarillado'!$I$5:$L$22,4),"0")</f>
        <v>0.182</v>
      </c>
      <c r="V178" s="55">
        <f t="shared" si="365"/>
        <v>1.5727686634536414E-2</v>
      </c>
      <c r="W178" s="35">
        <f t="shared" si="366"/>
        <v>0.84409743838918438</v>
      </c>
      <c r="X178" s="35">
        <f t="shared" si="446"/>
        <v>0.60454995079985652</v>
      </c>
      <c r="Y178" s="55">
        <f>IF(T178&gt;0,(VLOOKUP($W178,Relaciones!$A$4:$D$108,2)),"")</f>
        <v>0.997</v>
      </c>
      <c r="Z178" s="35">
        <f t="shared" si="447"/>
        <v>0.60273630094745689</v>
      </c>
      <c r="AA178" s="35">
        <f t="shared" si="448"/>
        <v>0.10237499999999984</v>
      </c>
      <c r="AB178" s="46" t="str">
        <f t="shared" si="449"/>
        <v>OK</v>
      </c>
      <c r="AC178" s="46" t="str">
        <f t="shared" si="450"/>
        <v>OK</v>
      </c>
      <c r="AD178" s="46" t="str">
        <f t="shared" si="451"/>
        <v>No Cumple</v>
      </c>
      <c r="AE178" s="48">
        <f t="shared" si="452"/>
        <v>1</v>
      </c>
      <c r="AF178" s="48">
        <f t="shared" si="452"/>
        <v>1</v>
      </c>
      <c r="AG178" s="48">
        <f t="shared" si="452"/>
        <v>0</v>
      </c>
      <c r="AH178" s="48">
        <f t="shared" si="453"/>
        <v>2</v>
      </c>
      <c r="AI178" s="46">
        <f t="shared" si="454"/>
        <v>0</v>
      </c>
      <c r="AJ178" s="20">
        <f>IF(AI178&gt;0,I178*VLOOKUP(T178,'$ alcantarillado'!$I$6:$K$22,3),0)</f>
        <v>0</v>
      </c>
      <c r="AK178" s="20">
        <f t="shared" si="441"/>
        <v>0</v>
      </c>
      <c r="AL178" s="20">
        <f t="shared" si="442"/>
        <v>0</v>
      </c>
      <c r="AM178" s="20">
        <f t="shared" si="455"/>
        <v>0</v>
      </c>
      <c r="AN178" s="80">
        <f>+AP161</f>
        <v>5900568.248666672</v>
      </c>
      <c r="AO178" s="78" t="str">
        <f t="shared" si="456"/>
        <v/>
      </c>
      <c r="AP178" s="215"/>
      <c r="AQ178" s="2"/>
      <c r="AR178" s="9"/>
    </row>
    <row r="179" spans="1:44" x14ac:dyDescent="0.25">
      <c r="A179" s="211"/>
      <c r="B179" s="211"/>
      <c r="C179" s="211"/>
      <c r="D179" s="211"/>
      <c r="E179" s="56">
        <v>4</v>
      </c>
      <c r="F179" s="2">
        <f>+H166</f>
        <v>47.195</v>
      </c>
      <c r="G179" s="56">
        <v>1</v>
      </c>
      <c r="H179" s="2">
        <f t="shared" si="457"/>
        <v>47.14</v>
      </c>
      <c r="I179" s="2">
        <f t="shared" si="457"/>
        <v>80</v>
      </c>
      <c r="J179" s="18">
        <f>+(F179-H179)/I179</f>
        <v>6.8749999999999649E-4</v>
      </c>
      <c r="K179" s="2">
        <f t="shared" si="458"/>
        <v>948</v>
      </c>
      <c r="L179" s="15">
        <f t="shared" si="444"/>
        <v>13.275700000000001</v>
      </c>
      <c r="M179" s="33">
        <f t="shared" si="445"/>
        <v>1.32757E-2</v>
      </c>
      <c r="N179" s="33">
        <f t="shared" si="360"/>
        <v>0.2133114641997132</v>
      </c>
      <c r="O179" s="33">
        <f t="shared" si="361"/>
        <v>8.3980891417209929</v>
      </c>
      <c r="P179" s="58">
        <f t="shared" si="362"/>
        <v>10</v>
      </c>
      <c r="Q179" s="55">
        <f>IF(O179&gt;0,VLOOKUP(P179,'$ alcantarillado'!$I$5:$L$22,4,FALSE),"0")</f>
        <v>0.22700000000000001</v>
      </c>
      <c r="R179" s="55">
        <f t="shared" si="363"/>
        <v>1.5670704607542094E-2</v>
      </c>
      <c r="S179" s="35">
        <f t="shared" si="364"/>
        <v>0.84716675685473575</v>
      </c>
      <c r="T179" s="58">
        <f>+IF(S179&gt;$B$13,VLOOKUP(P179,'$ alcantarillado'!$I$6:$N$22,5),P179)</f>
        <v>10</v>
      </c>
      <c r="U179" s="55">
        <f>IF(O179&gt;0,VLOOKUP(T179,'$ alcantarillado'!$I$5:$L$22,4),"0")</f>
        <v>0.22700000000000001</v>
      </c>
      <c r="V179" s="55">
        <f t="shared" si="365"/>
        <v>1.5670704607542094E-2</v>
      </c>
      <c r="W179" s="35">
        <f t="shared" si="366"/>
        <v>0.84716675685473575</v>
      </c>
      <c r="X179" s="35">
        <f t="shared" si="446"/>
        <v>0.38721032428702501</v>
      </c>
      <c r="Y179" s="55">
        <f>IF(T179&gt;0,(VLOOKUP($W179,Relaciones!$A$4:$D$108,2)),"")</f>
        <v>0.997</v>
      </c>
      <c r="Z179" s="35">
        <f t="shared" si="447"/>
        <v>0.38604869331416392</v>
      </c>
      <c r="AA179" s="35">
        <f t="shared" si="448"/>
        <v>3.9015624999999804E-2</v>
      </c>
      <c r="AB179" s="46" t="str">
        <f t="shared" si="449"/>
        <v>OK</v>
      </c>
      <c r="AC179" s="46" t="str">
        <f t="shared" si="450"/>
        <v>No Cumple</v>
      </c>
      <c r="AD179" s="46" t="str">
        <f t="shared" si="451"/>
        <v>No Cumple</v>
      </c>
      <c r="AE179" s="48">
        <f t="shared" si="452"/>
        <v>1</v>
      </c>
      <c r="AF179" s="48">
        <f t="shared" si="452"/>
        <v>0</v>
      </c>
      <c r="AG179" s="48">
        <f t="shared" si="452"/>
        <v>0</v>
      </c>
      <c r="AH179" s="48">
        <f t="shared" si="453"/>
        <v>1</v>
      </c>
      <c r="AI179" s="46">
        <f t="shared" si="454"/>
        <v>0</v>
      </c>
      <c r="AJ179" s="20">
        <f>IF(AI179&gt;0,I179*VLOOKUP(T179,'$ alcantarillado'!$I$6:$K$22,3),0)</f>
        <v>0</v>
      </c>
      <c r="AK179" s="20">
        <f t="shared" si="441"/>
        <v>0</v>
      </c>
      <c r="AL179" s="20">
        <f t="shared" si="442"/>
        <v>0</v>
      </c>
      <c r="AM179" s="20">
        <f t="shared" si="455"/>
        <v>0</v>
      </c>
      <c r="AN179" s="80">
        <f>+AP166</f>
        <v>5961948.248666672</v>
      </c>
      <c r="AO179" s="78" t="str">
        <f t="shared" si="456"/>
        <v/>
      </c>
      <c r="AP179" s="215"/>
      <c r="AQ179" s="2"/>
      <c r="AR179" s="9"/>
    </row>
    <row r="180" spans="1:44" ht="15.75" thickBot="1" x14ac:dyDescent="0.3">
      <c r="A180" s="211"/>
      <c r="B180" s="211"/>
      <c r="C180" s="211"/>
      <c r="D180" s="211"/>
      <c r="E180" s="6">
        <v>5</v>
      </c>
      <c r="F180" s="16">
        <f>+H171</f>
        <v>47.07</v>
      </c>
      <c r="G180" s="6">
        <v>1</v>
      </c>
      <c r="H180" s="10">
        <f>+H179</f>
        <v>47.14</v>
      </c>
      <c r="I180" s="10">
        <f>+I179</f>
        <v>80</v>
      </c>
      <c r="J180" s="19">
        <f t="shared" si="443"/>
        <v>-8.750000000000036E-4</v>
      </c>
      <c r="K180" s="10">
        <f>+K179</f>
        <v>948</v>
      </c>
      <c r="L180" s="16">
        <f t="shared" si="444"/>
        <v>13.275700000000001</v>
      </c>
      <c r="M180" s="34">
        <f t="shared" si="445"/>
        <v>1.32757E-2</v>
      </c>
      <c r="N180" s="34">
        <f t="shared" si="360"/>
        <v>0</v>
      </c>
      <c r="O180" s="34">
        <f t="shared" si="361"/>
        <v>0</v>
      </c>
      <c r="P180" s="59">
        <f t="shared" si="362"/>
        <v>0</v>
      </c>
      <c r="Q180" s="55" t="str">
        <f>IF(O180&gt;0,VLOOKUP(P180,'$ alcantarillado'!$I$5:$L$22,4,FALSE),"0")</f>
        <v>0</v>
      </c>
      <c r="R180" s="55" t="str">
        <f t="shared" si="363"/>
        <v/>
      </c>
      <c r="S180" s="35">
        <f t="shared" si="364"/>
        <v>0</v>
      </c>
      <c r="T180" s="58">
        <f>+IF(S180&gt;$B$13,VLOOKUP(P180,'$ alcantarillado'!$I$6:$N$22,5),P180)</f>
        <v>0</v>
      </c>
      <c r="U180" s="55" t="str">
        <f>IF(O180&gt;0,VLOOKUP(T180,'$ alcantarillado'!$I$5:$L$22,4),"0")</f>
        <v>0</v>
      </c>
      <c r="V180" s="55" t="str">
        <f t="shared" si="365"/>
        <v/>
      </c>
      <c r="W180" s="35">
        <f t="shared" si="366"/>
        <v>0</v>
      </c>
      <c r="X180" s="35" t="str">
        <f t="shared" si="446"/>
        <v/>
      </c>
      <c r="Y180" s="55" t="str">
        <f>IF(T180&gt;0,(VLOOKUP($W180,Relaciones!$A$4:$D$108,2)),"")</f>
        <v/>
      </c>
      <c r="Z180" s="35" t="str">
        <f t="shared" si="447"/>
        <v/>
      </c>
      <c r="AA180" s="35" t="str">
        <f t="shared" si="448"/>
        <v/>
      </c>
      <c r="AB180" s="46" t="str">
        <f t="shared" si="449"/>
        <v/>
      </c>
      <c r="AC180" s="46" t="str">
        <f t="shared" si="450"/>
        <v/>
      </c>
      <c r="AD180" s="46" t="str">
        <f t="shared" si="451"/>
        <v/>
      </c>
      <c r="AE180" s="48">
        <f t="shared" si="452"/>
        <v>0</v>
      </c>
      <c r="AF180" s="48">
        <f t="shared" si="452"/>
        <v>0</v>
      </c>
      <c r="AG180" s="48">
        <f t="shared" si="452"/>
        <v>0</v>
      </c>
      <c r="AH180" s="48">
        <f t="shared" si="453"/>
        <v>0</v>
      </c>
      <c r="AI180" s="46">
        <f t="shared" si="454"/>
        <v>0</v>
      </c>
      <c r="AJ180" s="22">
        <f>IF(AI180&gt;0,I180*VLOOKUP(T180,'$ alcantarillado'!$I$6:$K$22,3),0)</f>
        <v>0</v>
      </c>
      <c r="AK180" s="20">
        <f t="shared" si="441"/>
        <v>0</v>
      </c>
      <c r="AL180" s="20">
        <f t="shared" si="442"/>
        <v>0</v>
      </c>
      <c r="AM180" s="22">
        <f t="shared" si="455"/>
        <v>0</v>
      </c>
      <c r="AN180" s="80">
        <f>+AP171</f>
        <v>6023328.248666672</v>
      </c>
      <c r="AO180" s="79" t="str">
        <f t="shared" si="456"/>
        <v/>
      </c>
      <c r="AP180" s="216"/>
      <c r="AQ180" s="10"/>
      <c r="AR180" s="11"/>
    </row>
    <row r="181" spans="1:44" x14ac:dyDescent="0.25">
      <c r="A181" s="211"/>
      <c r="B181" s="211"/>
      <c r="C181" s="211"/>
      <c r="D181" s="211"/>
      <c r="E181" s="4">
        <v>1</v>
      </c>
      <c r="F181" s="7">
        <f>+H151</f>
        <v>47.57</v>
      </c>
      <c r="G181" s="4">
        <v>2</v>
      </c>
      <c r="H181" s="35">
        <f>+'LOGIKA AN-2'!H181</f>
        <v>47.015000000000001</v>
      </c>
      <c r="I181" s="2">
        <f>+I180</f>
        <v>80</v>
      </c>
      <c r="J181" s="18">
        <f>+(F181-H181)/I181</f>
        <v>6.9374999999999966E-3</v>
      </c>
      <c r="K181" s="2">
        <f>+K180</f>
        <v>948</v>
      </c>
      <c r="L181" s="14">
        <f>IF(K181&lt;38,K181^0.3686*0.7401,IF(K181&lt;235,K181^0.4193*0.6215,IF(K181&lt;932,K181*0.0092+4.2493,K181*0.0069+6.7345)))</f>
        <v>13.275700000000001</v>
      </c>
      <c r="M181" s="31">
        <f>+L181/1000</f>
        <v>1.32757E-2</v>
      </c>
      <c r="N181" s="31">
        <f t="shared" si="360"/>
        <v>0.13828569818226932</v>
      </c>
      <c r="O181" s="31">
        <f t="shared" si="361"/>
        <v>5.4443188260735953</v>
      </c>
      <c r="P181" s="57">
        <f t="shared" si="362"/>
        <v>6</v>
      </c>
      <c r="Q181" s="60">
        <f>IF(O181&gt;0,VLOOKUP(P181,'$ alcantarillado'!$I$5:$L$22,4,FALSE),"0")</f>
        <v>0.14499999999999999</v>
      </c>
      <c r="R181" s="60">
        <f t="shared" si="363"/>
        <v>1.5064893223453581E-2</v>
      </c>
      <c r="S181" s="27">
        <f t="shared" si="364"/>
        <v>0.88123425789250864</v>
      </c>
      <c r="T181" s="57">
        <f>+IF(S181&gt;$B$13,VLOOKUP(P181,'$ alcantarillado'!$I$6:$N$22,5),P181)</f>
        <v>8</v>
      </c>
      <c r="U181" s="60">
        <f>IF(O181&gt;0,VLOOKUP(T181,'$ alcantarillado'!$I$5:$L$22,4),"0")</f>
        <v>0.182</v>
      </c>
      <c r="V181" s="60">
        <f t="shared" si="365"/>
        <v>2.7616910119140928E-2</v>
      </c>
      <c r="W181" s="27">
        <f t="shared" si="366"/>
        <v>0.48070909970477765</v>
      </c>
      <c r="X181" s="27">
        <f>IF(T181&gt;0,4*V181/(PI()*(U181)^2),"")</f>
        <v>1.0615548263219086</v>
      </c>
      <c r="Y181" s="60">
        <f>IF(T181&gt;0,(VLOOKUP($W181,Relaciones!$A$4:$D$108,2)),"")</f>
        <v>0.84</v>
      </c>
      <c r="Z181" s="27">
        <f>IF(T181&gt;0,Y181*X181,"")</f>
        <v>0.89170605411040316</v>
      </c>
      <c r="AA181" s="27">
        <f>IF(T181&gt;0,250*U181*J181,"")</f>
        <v>0.31565624999999986</v>
      </c>
      <c r="AB181" s="45" t="str">
        <f>IF(T181&gt;0,IF(W181&lt;=$B$13,"OK","No Cumple"),"")</f>
        <v>OK</v>
      </c>
      <c r="AC181" s="45" t="str">
        <f>IF(T181&gt;0,IF(Z181&gt;=$B$12,"OK","No Cumple"),"")</f>
        <v>OK</v>
      </c>
      <c r="AD181" s="45" t="str">
        <f>IF(T181&gt;0,IF(AA181&gt;$B$14,"OK","No Cumple"),"")</f>
        <v>OK</v>
      </c>
      <c r="AE181" s="32">
        <f>+IF(AB181="OK",1,0)</f>
        <v>1</v>
      </c>
      <c r="AF181" s="32">
        <f>+IF(AC181="OK",1,0)</f>
        <v>1</v>
      </c>
      <c r="AG181" s="32">
        <f>+IF(AD181="OK",1,0)</f>
        <v>1</v>
      </c>
      <c r="AH181" s="32">
        <f>SUM(AE181:AG181)</f>
        <v>3</v>
      </c>
      <c r="AI181" s="45">
        <f>IF(AH181=3,2*$B$7+U181,0)</f>
        <v>0.68199999999999994</v>
      </c>
      <c r="AJ181" s="21">
        <f>IF(AI181&gt;0,I181*VLOOKUP(T181,'$ alcantarillado'!$I$6:$K$22,3),0)</f>
        <v>2654586.666666667</v>
      </c>
      <c r="AK181" s="61">
        <f t="shared" si="441"/>
        <v>2711031.840000004</v>
      </c>
      <c r="AL181" s="61">
        <f t="shared" si="442"/>
        <v>1139104.9920000019</v>
      </c>
      <c r="AM181" s="21">
        <f>IF(AJ181&gt;0,AJ181+AK181+AL181,0)</f>
        <v>6504723.4986666739</v>
      </c>
      <c r="AN181" s="81">
        <f>IF(AP151&gt;0,+AP151,0)</f>
        <v>0</v>
      </c>
      <c r="AO181" s="77" t="str">
        <f>IF((AM181)&gt;0,IF(AN181&gt;0,AM181+AN181,""),"")</f>
        <v/>
      </c>
      <c r="AP181" s="221">
        <f>+MIN(AO181:AO185)</f>
        <v>12825306.997333344</v>
      </c>
      <c r="AQ181" s="2"/>
      <c r="AR181" s="9"/>
    </row>
    <row r="182" spans="1:44" x14ac:dyDescent="0.25">
      <c r="A182" s="211"/>
      <c r="B182" s="211"/>
      <c r="C182" s="211"/>
      <c r="D182" s="211"/>
      <c r="E182" s="5">
        <v>2</v>
      </c>
      <c r="F182" s="2">
        <f>+H156</f>
        <v>47.445</v>
      </c>
      <c r="G182" s="5">
        <v>2</v>
      </c>
      <c r="H182" s="35">
        <f>+H181</f>
        <v>47.015000000000001</v>
      </c>
      <c r="I182" s="2">
        <f>+I181</f>
        <v>80</v>
      </c>
      <c r="J182" s="18">
        <f t="shared" si="443"/>
        <v>5.3749999999999961E-3</v>
      </c>
      <c r="K182" s="2">
        <f>+K181</f>
        <v>948</v>
      </c>
      <c r="L182" s="15">
        <f t="shared" si="444"/>
        <v>13.275700000000001</v>
      </c>
      <c r="M182" s="33">
        <f t="shared" ref="M182:M185" si="459">+L182/1000</f>
        <v>1.32757E-2</v>
      </c>
      <c r="N182" s="33">
        <f t="shared" si="360"/>
        <v>0.1450630704499157</v>
      </c>
      <c r="O182" s="33">
        <f t="shared" si="361"/>
        <v>5.711144505902193</v>
      </c>
      <c r="P182" s="58">
        <f t="shared" si="362"/>
        <v>6</v>
      </c>
      <c r="Q182" s="55">
        <f>IF(O182&gt;0,VLOOKUP(P182,'$ alcantarillado'!$I$5:$L$22,4,FALSE),"0")</f>
        <v>0.14499999999999999</v>
      </c>
      <c r="R182" s="55">
        <f t="shared" si="363"/>
        <v>1.3260313570181519E-2</v>
      </c>
      <c r="S182" s="35">
        <f t="shared" si="364"/>
        <v>1.0011603368002608</v>
      </c>
      <c r="T182" s="58">
        <f>+IF(S182&gt;$B$13,VLOOKUP(P182,'$ alcantarillado'!$I$6:$N$22,5),P182)</f>
        <v>8</v>
      </c>
      <c r="U182" s="55">
        <f>IF(O182&gt;0,VLOOKUP(T182,'$ alcantarillado'!$I$5:$L$22,4),"0")</f>
        <v>0.182</v>
      </c>
      <c r="V182" s="55">
        <f t="shared" si="365"/>
        <v>2.4308760944232927E-2</v>
      </c>
      <c r="W182" s="35">
        <f t="shared" si="366"/>
        <v>0.54612820581254518</v>
      </c>
      <c r="X182" s="35">
        <f t="shared" ref="X182:X185" si="460">IF(T182&gt;0,4*V182/(PI()*(U182)^2),"")</f>
        <v>0.9343942675314284</v>
      </c>
      <c r="Y182" s="55">
        <f>IF(T182&gt;0,(VLOOKUP($W182,Relaciones!$A$4:$D$108,2)),"")</f>
        <v>0.87</v>
      </c>
      <c r="Z182" s="35">
        <f t="shared" ref="Z182:Z185" si="461">IF(T182&gt;0,Y182*X182,"")</f>
        <v>0.81292301275234269</v>
      </c>
      <c r="AA182" s="35">
        <f t="shared" ref="AA182:AA185" si="462">IF(T182&gt;0,250*U182*J182,"")</f>
        <v>0.24456249999999982</v>
      </c>
      <c r="AB182" s="46" t="str">
        <f t="shared" ref="AB182:AB185" si="463">IF(T182&gt;0,IF(W182&lt;=$B$13,"OK","No Cumple"),"")</f>
        <v>OK</v>
      </c>
      <c r="AC182" s="46" t="str">
        <f t="shared" ref="AC182:AC185" si="464">IF(T182&gt;0,IF(Z182&gt;=$B$12,"OK","No Cumple"),"")</f>
        <v>OK</v>
      </c>
      <c r="AD182" s="46" t="str">
        <f t="shared" ref="AD182:AD185" si="465">IF(T182&gt;0,IF(AA182&gt;$B$14,"OK","No Cumple"),"")</f>
        <v>OK</v>
      </c>
      <c r="AE182" s="48">
        <f t="shared" ref="AE182:AG185" si="466">+IF(AB182="OK",1,0)</f>
        <v>1</v>
      </c>
      <c r="AF182" s="48">
        <f t="shared" si="466"/>
        <v>1</v>
      </c>
      <c r="AG182" s="48">
        <f t="shared" si="466"/>
        <v>1</v>
      </c>
      <c r="AH182" s="48">
        <f t="shared" ref="AH182:AH185" si="467">SUM(AE182:AG182)</f>
        <v>3</v>
      </c>
      <c r="AI182" s="46">
        <f t="shared" ref="AI182:AI185" si="468">IF(AH182=3,2*$B$7+U182,0)</f>
        <v>0.68199999999999994</v>
      </c>
      <c r="AJ182" s="20">
        <f>IF(AI182&gt;0,I182*VLOOKUP(T182,'$ alcantarillado'!$I$6:$K$22,3),0)</f>
        <v>2654586.666666667</v>
      </c>
      <c r="AK182" s="20">
        <f t="shared" si="441"/>
        <v>2833791.8400000036</v>
      </c>
      <c r="AL182" s="20">
        <f t="shared" si="442"/>
        <v>1226352.6170000019</v>
      </c>
      <c r="AM182" s="20">
        <f t="shared" si="455"/>
        <v>6714731.123666672</v>
      </c>
      <c r="AN182" s="80">
        <f>+AP156</f>
        <v>0</v>
      </c>
      <c r="AO182" s="78" t="str">
        <f t="shared" ref="AO182:AO185" si="469">IF((AM182)&gt;0,IF(AN182&gt;0,AM182+AN182,""),"")</f>
        <v/>
      </c>
      <c r="AP182" s="222"/>
      <c r="AQ182" s="2">
        <v>3</v>
      </c>
      <c r="AR182" s="9">
        <v>2</v>
      </c>
    </row>
    <row r="183" spans="1:44" x14ac:dyDescent="0.25">
      <c r="A183" s="211"/>
      <c r="B183" s="211"/>
      <c r="C183" s="211"/>
      <c r="D183" s="211"/>
      <c r="E183" s="56">
        <v>3</v>
      </c>
      <c r="F183" s="2">
        <f>+H161</f>
        <v>47.32</v>
      </c>
      <c r="G183" s="56">
        <v>2</v>
      </c>
      <c r="H183" s="35">
        <f t="shared" ref="H183:I184" si="470">+H182</f>
        <v>47.015000000000001</v>
      </c>
      <c r="I183" s="2">
        <f t="shared" si="470"/>
        <v>80</v>
      </c>
      <c r="J183" s="18">
        <f t="shared" si="443"/>
        <v>3.8124999999999964E-3</v>
      </c>
      <c r="K183" s="2">
        <f t="shared" ref="K183:K184" si="471">+K182</f>
        <v>948</v>
      </c>
      <c r="L183" s="15">
        <f t="shared" si="444"/>
        <v>13.275700000000001</v>
      </c>
      <c r="M183" s="33">
        <f t="shared" si="459"/>
        <v>1.32757E-2</v>
      </c>
      <c r="N183" s="33">
        <f t="shared" si="360"/>
        <v>0.15471270563132869</v>
      </c>
      <c r="O183" s="33">
        <f t="shared" si="361"/>
        <v>6.0910514028082163</v>
      </c>
      <c r="P183" s="58">
        <f t="shared" si="362"/>
        <v>8</v>
      </c>
      <c r="Q183" s="55">
        <f>IF(O183&gt;0,VLOOKUP(P183,'$ alcantarillado'!$I$5:$L$22,4,FALSE),"0")</f>
        <v>0.182</v>
      </c>
      <c r="R183" s="55">
        <f t="shared" si="363"/>
        <v>2.0472859906691582E-2</v>
      </c>
      <c r="S183" s="35">
        <f t="shared" si="364"/>
        <v>0.64845361422420611</v>
      </c>
      <c r="T183" s="58">
        <f>+IF(S183&gt;$B$13,VLOOKUP(P183,'$ alcantarillado'!$I$6:$N$22,5),P183)</f>
        <v>8</v>
      </c>
      <c r="U183" s="55">
        <f>IF(O183&gt;0,VLOOKUP(T183,'$ alcantarillado'!$I$5:$L$22,4),"0")</f>
        <v>0.182</v>
      </c>
      <c r="V183" s="55">
        <f t="shared" si="365"/>
        <v>2.0472859906691582E-2</v>
      </c>
      <c r="W183" s="35">
        <f t="shared" ref="W183:W200" si="472">IF(T183&gt;0,M183/V183,0)</f>
        <v>0.64845361422420611</v>
      </c>
      <c r="X183" s="35">
        <f t="shared" si="460"/>
        <v>0.78694767621732742</v>
      </c>
      <c r="Y183" s="55">
        <f>IF(T183&gt;0,(VLOOKUP($W183,Relaciones!$A$4:$D$108,2)),"")</f>
        <v>0.91800000000000004</v>
      </c>
      <c r="Z183" s="35">
        <f t="shared" si="461"/>
        <v>0.72241796676750658</v>
      </c>
      <c r="AA183" s="35">
        <f t="shared" si="462"/>
        <v>0.17346874999999984</v>
      </c>
      <c r="AB183" s="46" t="str">
        <f t="shared" si="463"/>
        <v>OK</v>
      </c>
      <c r="AC183" s="46" t="str">
        <f t="shared" si="464"/>
        <v>OK</v>
      </c>
      <c r="AD183" s="46" t="str">
        <f t="shared" si="465"/>
        <v>OK</v>
      </c>
      <c r="AE183" s="48">
        <f t="shared" si="466"/>
        <v>1</v>
      </c>
      <c r="AF183" s="48">
        <f t="shared" si="466"/>
        <v>1</v>
      </c>
      <c r="AG183" s="48">
        <f t="shared" si="466"/>
        <v>1</v>
      </c>
      <c r="AH183" s="48">
        <f t="shared" si="467"/>
        <v>3</v>
      </c>
      <c r="AI183" s="46">
        <f t="shared" si="468"/>
        <v>0.68199999999999994</v>
      </c>
      <c r="AJ183" s="20">
        <f>IF(AI183&gt;0,I183*VLOOKUP(T183,'$ alcantarillado'!$I$6:$K$22,3),0)</f>
        <v>2654586.666666667</v>
      </c>
      <c r="AK183" s="20">
        <f t="shared" si="441"/>
        <v>2956551.8400000036</v>
      </c>
      <c r="AL183" s="20">
        <f t="shared" si="442"/>
        <v>1313600.2420000019</v>
      </c>
      <c r="AM183" s="20">
        <f t="shared" si="455"/>
        <v>6924738.748666672</v>
      </c>
      <c r="AN183" s="80">
        <f>+AP161</f>
        <v>5900568.248666672</v>
      </c>
      <c r="AO183" s="66">
        <f t="shared" si="469"/>
        <v>12825306.997333344</v>
      </c>
      <c r="AP183" s="223"/>
      <c r="AQ183" s="2"/>
      <c r="AR183" s="9"/>
    </row>
    <row r="184" spans="1:44" x14ac:dyDescent="0.25">
      <c r="A184" s="211"/>
      <c r="B184" s="211"/>
      <c r="C184" s="211"/>
      <c r="D184" s="211"/>
      <c r="E184" s="56">
        <v>4</v>
      </c>
      <c r="F184" s="2">
        <f>+H166</f>
        <v>47.195</v>
      </c>
      <c r="G184" s="56">
        <v>2</v>
      </c>
      <c r="H184" s="35">
        <f t="shared" si="470"/>
        <v>47.015000000000001</v>
      </c>
      <c r="I184" s="2">
        <f t="shared" si="470"/>
        <v>80</v>
      </c>
      <c r="J184" s="18">
        <f>+(F184-H184)/I184</f>
        <v>2.2499999999999964E-3</v>
      </c>
      <c r="K184" s="2">
        <f t="shared" si="471"/>
        <v>948</v>
      </c>
      <c r="L184" s="15">
        <f t="shared" si="444"/>
        <v>13.275700000000001</v>
      </c>
      <c r="M184" s="33">
        <f t="shared" si="459"/>
        <v>1.32757E-2</v>
      </c>
      <c r="N184" s="33">
        <f t="shared" si="360"/>
        <v>0.1707924255640231</v>
      </c>
      <c r="O184" s="33">
        <f t="shared" si="361"/>
        <v>6.7241112426780756</v>
      </c>
      <c r="P184" s="58">
        <f t="shared" si="362"/>
        <v>8</v>
      </c>
      <c r="Q184" s="55">
        <f>IF(O184&gt;0,VLOOKUP(P184,'$ alcantarillado'!$I$5:$L$22,4,FALSE),"0")</f>
        <v>0.182</v>
      </c>
      <c r="R184" s="55">
        <f t="shared" si="363"/>
        <v>1.5727686634536414E-2</v>
      </c>
      <c r="S184" s="35">
        <f t="shared" si="364"/>
        <v>0.84409743838918438</v>
      </c>
      <c r="T184" s="58">
        <f>+IF(S184&gt;$B$13,VLOOKUP(P184,'$ alcantarillado'!$I$6:$N$22,5),P184)</f>
        <v>8</v>
      </c>
      <c r="U184" s="55">
        <f>IF(O184&gt;0,VLOOKUP(T184,'$ alcantarillado'!$I$5:$L$22,4),"0")</f>
        <v>0.182</v>
      </c>
      <c r="V184" s="55">
        <f t="shared" si="365"/>
        <v>1.5727686634536414E-2</v>
      </c>
      <c r="W184" s="35">
        <f t="shared" si="472"/>
        <v>0.84409743838918438</v>
      </c>
      <c r="X184" s="35">
        <f t="shared" si="460"/>
        <v>0.60454995079985652</v>
      </c>
      <c r="Y184" s="55">
        <f>IF(T184&gt;0,(VLOOKUP($W184,Relaciones!$A$4:$D$108,2)),"")</f>
        <v>0.997</v>
      </c>
      <c r="Z184" s="35">
        <f t="shared" si="461"/>
        <v>0.60273630094745689</v>
      </c>
      <c r="AA184" s="35">
        <f t="shared" si="462"/>
        <v>0.10237499999999984</v>
      </c>
      <c r="AB184" s="46" t="str">
        <f t="shared" si="463"/>
        <v>OK</v>
      </c>
      <c r="AC184" s="46" t="str">
        <f t="shared" si="464"/>
        <v>OK</v>
      </c>
      <c r="AD184" s="46" t="str">
        <f t="shared" si="465"/>
        <v>No Cumple</v>
      </c>
      <c r="AE184" s="48">
        <f t="shared" si="466"/>
        <v>1</v>
      </c>
      <c r="AF184" s="48">
        <f t="shared" si="466"/>
        <v>1</v>
      </c>
      <c r="AG184" s="48">
        <f t="shared" si="466"/>
        <v>0</v>
      </c>
      <c r="AH184" s="48">
        <f t="shared" si="467"/>
        <v>2</v>
      </c>
      <c r="AI184" s="46">
        <f t="shared" si="468"/>
        <v>0</v>
      </c>
      <c r="AJ184" s="20">
        <f>IF(AI184&gt;0,I184*VLOOKUP(T184,'$ alcantarillado'!$I$6:$K$22,3),0)</f>
        <v>0</v>
      </c>
      <c r="AK184" s="20">
        <f t="shared" si="441"/>
        <v>0</v>
      </c>
      <c r="AL184" s="20">
        <f t="shared" si="442"/>
        <v>0</v>
      </c>
      <c r="AM184" s="20">
        <f t="shared" si="455"/>
        <v>0</v>
      </c>
      <c r="AN184" s="80">
        <f>+AP166</f>
        <v>5961948.248666672</v>
      </c>
      <c r="AO184" s="78" t="str">
        <f t="shared" si="469"/>
        <v/>
      </c>
      <c r="AP184" s="223"/>
      <c r="AQ184" s="2"/>
      <c r="AR184" s="9"/>
    </row>
    <row r="185" spans="1:44" ht="15.75" thickBot="1" x14ac:dyDescent="0.3">
      <c r="A185" s="211"/>
      <c r="B185" s="211"/>
      <c r="C185" s="211"/>
      <c r="D185" s="211"/>
      <c r="E185" s="6">
        <v>5</v>
      </c>
      <c r="F185" s="16">
        <f>+H171</f>
        <v>47.07</v>
      </c>
      <c r="G185" s="6">
        <v>2</v>
      </c>
      <c r="H185" s="65">
        <f>+H184</f>
        <v>47.015000000000001</v>
      </c>
      <c r="I185" s="10">
        <f>+I184</f>
        <v>80</v>
      </c>
      <c r="J185" s="19">
        <f t="shared" si="443"/>
        <v>6.8749999999999649E-4</v>
      </c>
      <c r="K185" s="10">
        <f>+K184</f>
        <v>948</v>
      </c>
      <c r="L185" s="16">
        <f t="shared" si="444"/>
        <v>13.275700000000001</v>
      </c>
      <c r="M185" s="34">
        <f t="shared" si="459"/>
        <v>1.32757E-2</v>
      </c>
      <c r="N185" s="34">
        <f t="shared" si="360"/>
        <v>0.2133114641997132</v>
      </c>
      <c r="O185" s="34">
        <f t="shared" si="361"/>
        <v>8.3980891417209929</v>
      </c>
      <c r="P185" s="59">
        <f t="shared" si="362"/>
        <v>10</v>
      </c>
      <c r="Q185" s="55">
        <f>IF(O185&gt;0,VLOOKUP(P185,'$ alcantarillado'!$I$5:$L$22,4,FALSE),"0")</f>
        <v>0.22700000000000001</v>
      </c>
      <c r="R185" s="47">
        <f t="shared" si="363"/>
        <v>1.5670704607542094E-2</v>
      </c>
      <c r="S185" s="35">
        <f t="shared" si="364"/>
        <v>0.84716675685473575</v>
      </c>
      <c r="T185" s="58">
        <f>+IF(S185&gt;$B$13,VLOOKUP(P185,'$ alcantarillado'!$I$6:$N$22,5),P185)</f>
        <v>10</v>
      </c>
      <c r="U185" s="55">
        <f>IF(O185&gt;0,VLOOKUP(T185,'$ alcantarillado'!$I$5:$L$22,4),"0")</f>
        <v>0.22700000000000001</v>
      </c>
      <c r="V185" s="55">
        <f t="shared" si="365"/>
        <v>1.5670704607542094E-2</v>
      </c>
      <c r="W185" s="35">
        <f t="shared" si="472"/>
        <v>0.84716675685473575</v>
      </c>
      <c r="X185" s="35">
        <f t="shared" si="460"/>
        <v>0.38721032428702501</v>
      </c>
      <c r="Y185" s="55">
        <f>IF(T185&gt;0,(VLOOKUP($W185,Relaciones!$A$4:$D$108,2)),"")</f>
        <v>0.997</v>
      </c>
      <c r="Z185" s="35">
        <f t="shared" si="461"/>
        <v>0.38604869331416392</v>
      </c>
      <c r="AA185" s="35">
        <f t="shared" si="462"/>
        <v>3.9015624999999804E-2</v>
      </c>
      <c r="AB185" s="46" t="str">
        <f t="shared" si="463"/>
        <v>OK</v>
      </c>
      <c r="AC185" s="46" t="str">
        <f t="shared" si="464"/>
        <v>No Cumple</v>
      </c>
      <c r="AD185" s="46" t="str">
        <f t="shared" si="465"/>
        <v>No Cumple</v>
      </c>
      <c r="AE185" s="48">
        <f t="shared" si="466"/>
        <v>1</v>
      </c>
      <c r="AF185" s="48">
        <f t="shared" si="466"/>
        <v>0</v>
      </c>
      <c r="AG185" s="48">
        <f t="shared" si="466"/>
        <v>0</v>
      </c>
      <c r="AH185" s="48">
        <f t="shared" si="467"/>
        <v>1</v>
      </c>
      <c r="AI185" s="46">
        <f t="shared" si="468"/>
        <v>0</v>
      </c>
      <c r="AJ185" s="22">
        <f>IF(AI185&gt;0,I185*VLOOKUP(T185,'$ alcantarillado'!$I$6:$K$22,3),0)</f>
        <v>0</v>
      </c>
      <c r="AK185" s="20">
        <f t="shared" si="441"/>
        <v>0</v>
      </c>
      <c r="AL185" s="20">
        <f t="shared" si="442"/>
        <v>0</v>
      </c>
      <c r="AM185" s="22">
        <f t="shared" si="455"/>
        <v>0</v>
      </c>
      <c r="AN185" s="82">
        <f>+AP171</f>
        <v>6023328.248666672</v>
      </c>
      <c r="AO185" s="79" t="str">
        <f t="shared" si="469"/>
        <v/>
      </c>
      <c r="AP185" s="224"/>
      <c r="AQ185" s="10"/>
      <c r="AR185" s="11"/>
    </row>
    <row r="186" spans="1:44" x14ac:dyDescent="0.25">
      <c r="A186" s="211"/>
      <c r="B186" s="211"/>
      <c r="C186" s="211"/>
      <c r="D186" s="211"/>
      <c r="E186" s="4">
        <v>1</v>
      </c>
      <c r="F186" s="7">
        <f>+H151</f>
        <v>47.57</v>
      </c>
      <c r="G186" s="4">
        <v>3</v>
      </c>
      <c r="H186" s="7">
        <f>+'LOGIKA AN-1'!H181</f>
        <v>46.89</v>
      </c>
      <c r="I186" s="7">
        <f t="shared" ref="I186" si="473">+I185</f>
        <v>80</v>
      </c>
      <c r="J186" s="18">
        <f>+(F186-H186)/I186</f>
        <v>8.4999999999999971E-3</v>
      </c>
      <c r="K186" s="7">
        <f t="shared" ref="K186" si="474">+K185</f>
        <v>948</v>
      </c>
      <c r="L186" s="14">
        <f>IF(K186&lt;38,K186^0.3686*0.7401,IF(K186&lt;235,K186^0.4193*0.6215,IF(K186&lt;932,K186*0.0092+4.2493,K186*0.0069+6.7345)))</f>
        <v>13.275700000000001</v>
      </c>
      <c r="M186" s="31">
        <f>+L186/1000</f>
        <v>1.32757E-2</v>
      </c>
      <c r="N186" s="31">
        <f t="shared" si="360"/>
        <v>0.13311799873800181</v>
      </c>
      <c r="O186" s="31">
        <f t="shared" si="361"/>
        <v>5.240866092047316</v>
      </c>
      <c r="P186" s="57">
        <f t="shared" si="362"/>
        <v>6</v>
      </c>
      <c r="Q186" s="60">
        <f>IF(O186&gt;0,VLOOKUP(P186,'$ alcantarillado'!$I$5:$L$22,4,FALSE),"0")</f>
        <v>0.14499999999999999</v>
      </c>
      <c r="R186" s="60">
        <f t="shared" si="363"/>
        <v>1.6675314080657526E-2</v>
      </c>
      <c r="S186" s="27">
        <f t="shared" si="364"/>
        <v>0.79612893261177631</v>
      </c>
      <c r="T186" s="57">
        <f>+IF(S186&gt;$B$13,VLOOKUP(P186,'$ alcantarillado'!$I$6:$N$22,5),P186)</f>
        <v>6</v>
      </c>
      <c r="U186" s="60">
        <f>IF(O186&gt;0,VLOOKUP(T186,'$ alcantarillado'!$I$5:$L$22,4),"0")</f>
        <v>0.14499999999999999</v>
      </c>
      <c r="V186" s="60">
        <f t="shared" si="365"/>
        <v>1.6675314080657526E-2</v>
      </c>
      <c r="W186" s="27">
        <f t="shared" si="472"/>
        <v>0.79612893261177631</v>
      </c>
      <c r="X186" s="27">
        <f>IF(T186&gt;0,4*V186/(PI()*(U186)^2),"")</f>
        <v>1.0098296936205584</v>
      </c>
      <c r="Y186" s="60">
        <f>IF(T186&gt;0,(VLOOKUP($W186,Relaciones!$A$4:$D$108,2)),"")</f>
        <v>0.98</v>
      </c>
      <c r="Z186" s="27">
        <f>IF(T186&gt;0,Y186*X186,"")</f>
        <v>0.98963309974814717</v>
      </c>
      <c r="AA186" s="27">
        <f>IF(T186&gt;0,250*U186*J186,"")</f>
        <v>0.30812499999999987</v>
      </c>
      <c r="AB186" s="45" t="str">
        <f>IF(T186&gt;0,IF(W186&lt;=$B$13,"OK","No Cumple"),"")</f>
        <v>OK</v>
      </c>
      <c r="AC186" s="45" t="str">
        <f>IF(T186&gt;0,IF(Z186&gt;=$B$12,"OK","No Cumple"),"")</f>
        <v>OK</v>
      </c>
      <c r="AD186" s="45" t="str">
        <f>IF(T186&gt;0,IF(AA186&gt;$B$14,"OK","No Cumple"),"")</f>
        <v>OK</v>
      </c>
      <c r="AE186" s="32">
        <f>+IF(AB186="OK",1,0)</f>
        <v>1</v>
      </c>
      <c r="AF186" s="32">
        <f>+IF(AC186="OK",1,0)</f>
        <v>1</v>
      </c>
      <c r="AG186" s="32">
        <f>+IF(AD186="OK",1,0)</f>
        <v>1</v>
      </c>
      <c r="AH186" s="32">
        <f>SUM(AE186:AG186)</f>
        <v>3</v>
      </c>
      <c r="AI186" s="45">
        <f>IF(AH186=3,2*$B$7+U186,0)</f>
        <v>0.64500000000000002</v>
      </c>
      <c r="AJ186" s="21">
        <f>IF(AI186&gt;0,I186*VLOOKUP(T186,'$ alcantarillado'!$I$6:$K$22,3),0)</f>
        <v>1912173.3333333335</v>
      </c>
      <c r="AK186" s="61">
        <f t="shared" si="441"/>
        <v>2570454.0000000042</v>
      </c>
      <c r="AL186" s="61">
        <f t="shared" si="442"/>
        <v>1113279.6950000019</v>
      </c>
      <c r="AM186" s="21">
        <f>IF(AJ186&gt;0,AJ186+AK186+AL186,0)</f>
        <v>5595907.0283333398</v>
      </c>
      <c r="AN186" s="81">
        <f>IF(AP151&gt;0,+AP151,0)</f>
        <v>0</v>
      </c>
      <c r="AO186" s="77" t="str">
        <f>IF((AM186)&gt;0,IF(AN186&gt;0,AM186+AN186,""),"")</f>
        <v/>
      </c>
      <c r="AP186" s="213">
        <f>+MIN(AO186:AO190)</f>
        <v>12886686.997333344</v>
      </c>
      <c r="AQ186" s="7"/>
      <c r="AR186" s="8"/>
    </row>
    <row r="187" spans="1:44" x14ac:dyDescent="0.25">
      <c r="A187" s="211"/>
      <c r="B187" s="211"/>
      <c r="C187" s="211"/>
      <c r="D187" s="211"/>
      <c r="E187" s="5">
        <v>2</v>
      </c>
      <c r="F187" s="2">
        <f>+H156</f>
        <v>47.445</v>
      </c>
      <c r="G187" s="5">
        <v>3</v>
      </c>
      <c r="H187" s="2">
        <f>+H186</f>
        <v>46.89</v>
      </c>
      <c r="I187" s="2">
        <f>+I186</f>
        <v>80</v>
      </c>
      <c r="J187" s="18">
        <f t="shared" si="443"/>
        <v>6.9374999999999966E-3</v>
      </c>
      <c r="K187" s="2">
        <f>+K186</f>
        <v>948</v>
      </c>
      <c r="L187" s="15">
        <f t="shared" si="444"/>
        <v>13.275700000000001</v>
      </c>
      <c r="M187" s="33">
        <f t="shared" ref="M187:M190" si="475">+L187/1000</f>
        <v>1.32757E-2</v>
      </c>
      <c r="N187" s="33">
        <f t="shared" si="360"/>
        <v>0.13828569818226932</v>
      </c>
      <c r="O187" s="33">
        <f t="shared" si="361"/>
        <v>5.4443188260735953</v>
      </c>
      <c r="P187" s="58">
        <f t="shared" si="362"/>
        <v>6</v>
      </c>
      <c r="Q187" s="55">
        <f>IF(O187&gt;0,VLOOKUP(P187,'$ alcantarillado'!$I$5:$L$22,4,FALSE),"0")</f>
        <v>0.14499999999999999</v>
      </c>
      <c r="R187" s="55">
        <f t="shared" si="363"/>
        <v>1.5064893223453581E-2</v>
      </c>
      <c r="S187" s="35">
        <f t="shared" si="364"/>
        <v>0.88123425789250864</v>
      </c>
      <c r="T187" s="58">
        <f>+IF(S187&gt;$B$13,VLOOKUP(P187,'$ alcantarillado'!$I$6:$N$22,5),P187)</f>
        <v>8</v>
      </c>
      <c r="U187" s="55">
        <f>IF(O187&gt;0,VLOOKUP(T187,'$ alcantarillado'!$I$5:$L$22,4),"0")</f>
        <v>0.182</v>
      </c>
      <c r="V187" s="55">
        <f t="shared" si="365"/>
        <v>2.7616910119140928E-2</v>
      </c>
      <c r="W187" s="35">
        <f t="shared" si="472"/>
        <v>0.48070909970477765</v>
      </c>
      <c r="X187" s="35">
        <f t="shared" ref="X187:X190" si="476">IF(T187&gt;0,4*V187/(PI()*(U187)^2),"")</f>
        <v>1.0615548263219086</v>
      </c>
      <c r="Y187" s="55">
        <f>IF(T187&gt;0,(VLOOKUP($W187,Relaciones!$A$4:$D$108,2)),"")</f>
        <v>0.84</v>
      </c>
      <c r="Z187" s="35">
        <f t="shared" ref="Z187:Z190" si="477">IF(T187&gt;0,Y187*X187,"")</f>
        <v>0.89170605411040316</v>
      </c>
      <c r="AA187" s="35">
        <f t="shared" ref="AA187:AA190" si="478">IF(T187&gt;0,250*U187*J187,"")</f>
        <v>0.31565624999999986</v>
      </c>
      <c r="AB187" s="46" t="str">
        <f t="shared" ref="AB187:AB190" si="479">IF(T187&gt;0,IF(W187&lt;=$B$13,"OK","No Cumple"),"")</f>
        <v>OK</v>
      </c>
      <c r="AC187" s="46" t="str">
        <f t="shared" ref="AC187:AC190" si="480">IF(T187&gt;0,IF(Z187&gt;=$B$12,"OK","No Cumple"),"")</f>
        <v>OK</v>
      </c>
      <c r="AD187" s="46" t="str">
        <f t="shared" ref="AD187:AD190" si="481">IF(T187&gt;0,IF(AA187&gt;$B$14,"OK","No Cumple"),"")</f>
        <v>OK</v>
      </c>
      <c r="AE187" s="48">
        <f t="shared" ref="AE187:AG190" si="482">+IF(AB187="OK",1,0)</f>
        <v>1</v>
      </c>
      <c r="AF187" s="48">
        <f t="shared" si="482"/>
        <v>1</v>
      </c>
      <c r="AG187" s="48">
        <f t="shared" si="482"/>
        <v>1</v>
      </c>
      <c r="AH187" s="48">
        <f t="shared" ref="AH187:AH190" si="483">SUM(AE187:AG187)</f>
        <v>3</v>
      </c>
      <c r="AI187" s="46">
        <f t="shared" ref="AI187:AI190" si="484">IF(AH187=3,2*$B$7+U187,0)</f>
        <v>0.68199999999999994</v>
      </c>
      <c r="AJ187" s="20">
        <f>IF(AI187&gt;0,I187*VLOOKUP(T187,'$ alcantarillado'!$I$6:$K$22,3),0)</f>
        <v>2654586.666666667</v>
      </c>
      <c r="AK187" s="20">
        <f t="shared" si="441"/>
        <v>2895171.8400000031</v>
      </c>
      <c r="AL187" s="20">
        <f t="shared" si="442"/>
        <v>1226352.6170000019</v>
      </c>
      <c r="AM187" s="20">
        <f t="shared" si="455"/>
        <v>6776111.123666672</v>
      </c>
      <c r="AN187" s="80">
        <f>+AP156</f>
        <v>0</v>
      </c>
      <c r="AO187" s="78" t="str">
        <f t="shared" ref="AO187:AO190" si="485">IF((AM187)&gt;0,IF(AN187&gt;0,AM187+AN187,""),"")</f>
        <v/>
      </c>
      <c r="AP187" s="214"/>
      <c r="AQ187" s="2"/>
      <c r="AR187" s="9"/>
    </row>
    <row r="188" spans="1:44" x14ac:dyDescent="0.25">
      <c r="A188" s="211"/>
      <c r="B188" s="211"/>
      <c r="C188" s="211"/>
      <c r="D188" s="211"/>
      <c r="E188" s="56">
        <v>3</v>
      </c>
      <c r="F188" s="2">
        <f>+H161</f>
        <v>47.32</v>
      </c>
      <c r="G188" s="56">
        <v>3</v>
      </c>
      <c r="H188" s="2">
        <f t="shared" ref="H188:I189" si="486">+H187</f>
        <v>46.89</v>
      </c>
      <c r="I188" s="2">
        <f t="shared" si="486"/>
        <v>80</v>
      </c>
      <c r="J188" s="18">
        <f t="shared" si="443"/>
        <v>5.3749999999999961E-3</v>
      </c>
      <c r="K188" s="2">
        <f t="shared" ref="K188:K189" si="487">+K187</f>
        <v>948</v>
      </c>
      <c r="L188" s="15">
        <f t="shared" si="444"/>
        <v>13.275700000000001</v>
      </c>
      <c r="M188" s="33">
        <f t="shared" si="475"/>
        <v>1.32757E-2</v>
      </c>
      <c r="N188" s="33">
        <f t="shared" si="360"/>
        <v>0.1450630704499157</v>
      </c>
      <c r="O188" s="33">
        <f t="shared" si="361"/>
        <v>5.711144505902193</v>
      </c>
      <c r="P188" s="58">
        <f t="shared" si="362"/>
        <v>6</v>
      </c>
      <c r="Q188" s="55">
        <f>IF(O188&gt;0,VLOOKUP(P188,'$ alcantarillado'!$I$5:$L$22,4,FALSE),"0")</f>
        <v>0.14499999999999999</v>
      </c>
      <c r="R188" s="55">
        <f t="shared" si="363"/>
        <v>1.3260313570181519E-2</v>
      </c>
      <c r="S188" s="35">
        <f t="shared" si="364"/>
        <v>1.0011603368002608</v>
      </c>
      <c r="T188" s="58">
        <f>+IF(S188&gt;$B$13,VLOOKUP(P188,'$ alcantarillado'!$I$6:$N$22,5),P188)</f>
        <v>8</v>
      </c>
      <c r="U188" s="55">
        <f>IF(O188&gt;0,VLOOKUP(T188,'$ alcantarillado'!$I$5:$L$22,4),"0")</f>
        <v>0.182</v>
      </c>
      <c r="V188" s="55">
        <f t="shared" si="365"/>
        <v>2.4308760944232927E-2</v>
      </c>
      <c r="W188" s="35">
        <f t="shared" si="472"/>
        <v>0.54612820581254518</v>
      </c>
      <c r="X188" s="35">
        <f t="shared" si="476"/>
        <v>0.9343942675314284</v>
      </c>
      <c r="Y188" s="55">
        <f>IF(T188&gt;0,(VLOOKUP($W188,Relaciones!$A$4:$D$108,2)),"")</f>
        <v>0.87</v>
      </c>
      <c r="Z188" s="35">
        <f t="shared" si="477"/>
        <v>0.81292301275234269</v>
      </c>
      <c r="AA188" s="35">
        <f t="shared" si="478"/>
        <v>0.24456249999999982</v>
      </c>
      <c r="AB188" s="46" t="str">
        <f t="shared" si="479"/>
        <v>OK</v>
      </c>
      <c r="AC188" s="46" t="str">
        <f t="shared" si="480"/>
        <v>OK</v>
      </c>
      <c r="AD188" s="46" t="str">
        <f t="shared" si="481"/>
        <v>OK</v>
      </c>
      <c r="AE188" s="48">
        <f t="shared" si="482"/>
        <v>1</v>
      </c>
      <c r="AF188" s="48">
        <f t="shared" si="482"/>
        <v>1</v>
      </c>
      <c r="AG188" s="48">
        <f t="shared" si="482"/>
        <v>1</v>
      </c>
      <c r="AH188" s="48">
        <f t="shared" si="483"/>
        <v>3</v>
      </c>
      <c r="AI188" s="46">
        <f t="shared" si="484"/>
        <v>0.68199999999999994</v>
      </c>
      <c r="AJ188" s="20">
        <f>IF(AI188&gt;0,I188*VLOOKUP(T188,'$ alcantarillado'!$I$6:$K$22,3),0)</f>
        <v>2654586.666666667</v>
      </c>
      <c r="AK188" s="20">
        <f t="shared" si="441"/>
        <v>3017931.8400000036</v>
      </c>
      <c r="AL188" s="20">
        <f t="shared" si="442"/>
        <v>1313600.2420000019</v>
      </c>
      <c r="AM188" s="20">
        <f t="shared" si="455"/>
        <v>6986118.748666672</v>
      </c>
      <c r="AN188" s="80">
        <f>+AP161</f>
        <v>5900568.248666672</v>
      </c>
      <c r="AO188" s="78">
        <f t="shared" si="485"/>
        <v>12886686.997333344</v>
      </c>
      <c r="AP188" s="215"/>
      <c r="AQ188" s="2"/>
      <c r="AR188" s="9"/>
    </row>
    <row r="189" spans="1:44" x14ac:dyDescent="0.25">
      <c r="A189" s="211"/>
      <c r="B189" s="211"/>
      <c r="C189" s="211"/>
      <c r="D189" s="211"/>
      <c r="E189" s="56">
        <v>4</v>
      </c>
      <c r="F189" s="2">
        <f>+H166</f>
        <v>47.195</v>
      </c>
      <c r="G189" s="56">
        <v>3</v>
      </c>
      <c r="H189" s="2">
        <f t="shared" si="486"/>
        <v>46.89</v>
      </c>
      <c r="I189" s="2">
        <f t="shared" si="486"/>
        <v>80</v>
      </c>
      <c r="J189" s="18">
        <f>+(F189-H189)/I189</f>
        <v>3.8124999999999964E-3</v>
      </c>
      <c r="K189" s="2">
        <f t="shared" si="487"/>
        <v>948</v>
      </c>
      <c r="L189" s="15">
        <f t="shared" si="444"/>
        <v>13.275700000000001</v>
      </c>
      <c r="M189" s="33">
        <f t="shared" si="475"/>
        <v>1.32757E-2</v>
      </c>
      <c r="N189" s="33">
        <f t="shared" si="360"/>
        <v>0.15471270563132869</v>
      </c>
      <c r="O189" s="33">
        <f t="shared" si="361"/>
        <v>6.0910514028082163</v>
      </c>
      <c r="P189" s="58">
        <f t="shared" si="362"/>
        <v>8</v>
      </c>
      <c r="Q189" s="55">
        <f>IF(O189&gt;0,VLOOKUP(P189,'$ alcantarillado'!$I$5:$L$22,4,FALSE),"0")</f>
        <v>0.182</v>
      </c>
      <c r="R189" s="55">
        <f t="shared" si="363"/>
        <v>2.0472859906691582E-2</v>
      </c>
      <c r="S189" s="35">
        <f t="shared" si="364"/>
        <v>0.64845361422420611</v>
      </c>
      <c r="T189" s="58">
        <f>+IF(S189&gt;$B$13,VLOOKUP(P189,'$ alcantarillado'!$I$6:$N$22,5),P189)</f>
        <v>8</v>
      </c>
      <c r="U189" s="55">
        <f>IF(O189&gt;0,VLOOKUP(T189,'$ alcantarillado'!$I$5:$L$22,4),"0")</f>
        <v>0.182</v>
      </c>
      <c r="V189" s="55">
        <f t="shared" si="365"/>
        <v>2.0472859906691582E-2</v>
      </c>
      <c r="W189" s="35">
        <f t="shared" si="472"/>
        <v>0.64845361422420611</v>
      </c>
      <c r="X189" s="35">
        <f t="shared" si="476"/>
        <v>0.78694767621732742</v>
      </c>
      <c r="Y189" s="55">
        <f>IF(T189&gt;0,(VLOOKUP($W189,Relaciones!$A$4:$D$108,2)),"")</f>
        <v>0.91800000000000004</v>
      </c>
      <c r="Z189" s="35">
        <f t="shared" si="477"/>
        <v>0.72241796676750658</v>
      </c>
      <c r="AA189" s="35">
        <f t="shared" si="478"/>
        <v>0.17346874999999984</v>
      </c>
      <c r="AB189" s="46" t="str">
        <f t="shared" si="479"/>
        <v>OK</v>
      </c>
      <c r="AC189" s="46" t="str">
        <f t="shared" si="480"/>
        <v>OK</v>
      </c>
      <c r="AD189" s="46" t="str">
        <f t="shared" si="481"/>
        <v>OK</v>
      </c>
      <c r="AE189" s="48">
        <f t="shared" si="482"/>
        <v>1</v>
      </c>
      <c r="AF189" s="48">
        <f t="shared" si="482"/>
        <v>1</v>
      </c>
      <c r="AG189" s="48">
        <f t="shared" si="482"/>
        <v>1</v>
      </c>
      <c r="AH189" s="48">
        <f t="shared" si="483"/>
        <v>3</v>
      </c>
      <c r="AI189" s="46">
        <f t="shared" si="484"/>
        <v>0.68199999999999994</v>
      </c>
      <c r="AJ189" s="20">
        <f>IF(AI189&gt;0,I189*VLOOKUP(T189,'$ alcantarillado'!$I$6:$K$22,3),0)</f>
        <v>2654586.666666667</v>
      </c>
      <c r="AK189" s="20">
        <f t="shared" si="441"/>
        <v>3140691.8400000036</v>
      </c>
      <c r="AL189" s="20">
        <f t="shared" si="442"/>
        <v>1400847.8670000019</v>
      </c>
      <c r="AM189" s="20">
        <f t="shared" si="455"/>
        <v>7196126.373666672</v>
      </c>
      <c r="AN189" s="80">
        <f>+AP166</f>
        <v>5961948.248666672</v>
      </c>
      <c r="AO189" s="78">
        <f t="shared" si="485"/>
        <v>13158074.622333344</v>
      </c>
      <c r="AP189" s="215"/>
      <c r="AQ189" s="2">
        <v>3</v>
      </c>
      <c r="AR189" s="9">
        <v>3</v>
      </c>
    </row>
    <row r="190" spans="1:44" ht="15.75" thickBot="1" x14ac:dyDescent="0.3">
      <c r="A190" s="211"/>
      <c r="B190" s="211"/>
      <c r="C190" s="211"/>
      <c r="D190" s="211"/>
      <c r="E190" s="6">
        <v>5</v>
      </c>
      <c r="F190" s="16">
        <f>+H171</f>
        <v>47.07</v>
      </c>
      <c r="G190" s="6">
        <v>3</v>
      </c>
      <c r="H190" s="10">
        <f>+H189</f>
        <v>46.89</v>
      </c>
      <c r="I190" s="10">
        <f>+I189</f>
        <v>80</v>
      </c>
      <c r="J190" s="19">
        <f t="shared" si="443"/>
        <v>2.2499999999999964E-3</v>
      </c>
      <c r="K190" s="10">
        <f>+K189</f>
        <v>948</v>
      </c>
      <c r="L190" s="16">
        <f t="shared" si="444"/>
        <v>13.275700000000001</v>
      </c>
      <c r="M190" s="34">
        <f t="shared" si="475"/>
        <v>1.32757E-2</v>
      </c>
      <c r="N190" s="34">
        <f t="shared" si="360"/>
        <v>0.1707924255640231</v>
      </c>
      <c r="O190" s="34">
        <f t="shared" si="361"/>
        <v>6.7241112426780756</v>
      </c>
      <c r="P190" s="59">
        <f t="shared" si="362"/>
        <v>8</v>
      </c>
      <c r="Q190" s="55">
        <f>IF(O190&gt;0,VLOOKUP(P190,'$ alcantarillado'!$I$5:$L$22,4,FALSE),"0")</f>
        <v>0.182</v>
      </c>
      <c r="R190" s="47">
        <f t="shared" si="363"/>
        <v>1.5727686634536414E-2</v>
      </c>
      <c r="S190" s="35">
        <f t="shared" si="364"/>
        <v>0.84409743838918438</v>
      </c>
      <c r="T190" s="58">
        <f>+IF(S190&gt;$B$13,VLOOKUP(P190,'$ alcantarillado'!$I$6:$N$22,5),P190)</f>
        <v>8</v>
      </c>
      <c r="U190" s="55">
        <f>IF(O190&gt;0,VLOOKUP(T190,'$ alcantarillado'!$I$5:$L$22,4),"0")</f>
        <v>0.182</v>
      </c>
      <c r="V190" s="55">
        <f t="shared" si="365"/>
        <v>1.5727686634536414E-2</v>
      </c>
      <c r="W190" s="35">
        <f t="shared" si="472"/>
        <v>0.84409743838918438</v>
      </c>
      <c r="X190" s="35">
        <f t="shared" si="476"/>
        <v>0.60454995079985652</v>
      </c>
      <c r="Y190" s="55">
        <f>IF(T190&gt;0,(VLOOKUP($W190,Relaciones!$A$4:$D$108,2)),"")</f>
        <v>0.997</v>
      </c>
      <c r="Z190" s="35">
        <f t="shared" si="477"/>
        <v>0.60273630094745689</v>
      </c>
      <c r="AA190" s="35">
        <f t="shared" si="478"/>
        <v>0.10237499999999984</v>
      </c>
      <c r="AB190" s="46" t="str">
        <f t="shared" si="479"/>
        <v>OK</v>
      </c>
      <c r="AC190" s="46" t="str">
        <f t="shared" si="480"/>
        <v>OK</v>
      </c>
      <c r="AD190" s="46" t="str">
        <f t="shared" si="481"/>
        <v>No Cumple</v>
      </c>
      <c r="AE190" s="48">
        <f t="shared" si="482"/>
        <v>1</v>
      </c>
      <c r="AF190" s="48">
        <f t="shared" si="482"/>
        <v>1</v>
      </c>
      <c r="AG190" s="48">
        <f t="shared" si="482"/>
        <v>0</v>
      </c>
      <c r="AH190" s="48">
        <f t="shared" si="483"/>
        <v>2</v>
      </c>
      <c r="AI190" s="46">
        <f t="shared" si="484"/>
        <v>0</v>
      </c>
      <c r="AJ190" s="22">
        <f>IF(AI190&gt;0,I190*VLOOKUP(T190,'$ alcantarillado'!$I$6:$K$22,3),0)</f>
        <v>0</v>
      </c>
      <c r="AK190" s="20">
        <f t="shared" si="441"/>
        <v>0</v>
      </c>
      <c r="AL190" s="20">
        <f t="shared" si="442"/>
        <v>0</v>
      </c>
      <c r="AM190" s="22">
        <f t="shared" si="455"/>
        <v>0</v>
      </c>
      <c r="AN190" s="82">
        <f>+AP171</f>
        <v>6023328.248666672</v>
      </c>
      <c r="AO190" s="79" t="str">
        <f t="shared" si="485"/>
        <v/>
      </c>
      <c r="AP190" s="216"/>
      <c r="AQ190" s="10"/>
      <c r="AR190" s="11"/>
    </row>
    <row r="191" spans="1:44" x14ac:dyDescent="0.25">
      <c r="A191" s="211"/>
      <c r="B191" s="211"/>
      <c r="C191" s="211"/>
      <c r="D191" s="211"/>
      <c r="E191" s="4">
        <v>1</v>
      </c>
      <c r="F191" s="7">
        <f>+H151</f>
        <v>47.57</v>
      </c>
      <c r="G191" s="4">
        <v>4</v>
      </c>
      <c r="H191" s="14">
        <f>+H186-$B$15</f>
        <v>46.765000000000001</v>
      </c>
      <c r="I191" s="12">
        <f>+I186</f>
        <v>80</v>
      </c>
      <c r="J191" s="18">
        <f>+(F191-H191)/I191</f>
        <v>1.0062499999999997E-2</v>
      </c>
      <c r="K191" s="12">
        <f>+K186</f>
        <v>948</v>
      </c>
      <c r="L191" s="14">
        <f>IF(K191&lt;38,K191^0.3686*0.7401,IF(K191&lt;235,K191^0.4193*0.6215,IF(K191&lt;932,K191*0.0092+4.2493,K191*0.0069+6.7345)))</f>
        <v>13.275700000000001</v>
      </c>
      <c r="M191" s="31">
        <f>+L191/1000</f>
        <v>1.32757E-2</v>
      </c>
      <c r="N191" s="31">
        <f t="shared" si="360"/>
        <v>0.12897201154864099</v>
      </c>
      <c r="O191" s="31">
        <f t="shared" si="361"/>
        <v>5.0776382499464958</v>
      </c>
      <c r="P191" s="57">
        <f t="shared" si="362"/>
        <v>6</v>
      </c>
      <c r="Q191" s="60">
        <f>IF(O191&gt;0,VLOOKUP(P191,'$ alcantarillado'!$I$5:$L$22,4,FALSE),"0")</f>
        <v>0.14499999999999999</v>
      </c>
      <c r="R191" s="60">
        <f t="shared" si="363"/>
        <v>1.8143351166283826E-2</v>
      </c>
      <c r="S191" s="27">
        <f t="shared" si="364"/>
        <v>0.73171157182199698</v>
      </c>
      <c r="T191" s="57">
        <f>+IF(S191&gt;$B$13,VLOOKUP(P191,'$ alcantarillado'!$I$6:$N$22,5),P191)</f>
        <v>6</v>
      </c>
      <c r="U191" s="60">
        <f>IF(O191&gt;0,VLOOKUP(T191,'$ alcantarillado'!$I$5:$L$22,4),"0")</f>
        <v>0.14499999999999999</v>
      </c>
      <c r="V191" s="60">
        <f t="shared" si="365"/>
        <v>1.8143351166283826E-2</v>
      </c>
      <c r="W191" s="27">
        <f t="shared" si="472"/>
        <v>0.73171157182199698</v>
      </c>
      <c r="X191" s="27">
        <f>IF(T191&gt;0,4*V191/(PI()*(U191)^2),"")</f>
        <v>1.0987316137421832</v>
      </c>
      <c r="Y191" s="60">
        <f>IF(T191&gt;0,(VLOOKUP($W191,Relaciones!$A$4:$D$108,2)),"")</f>
        <v>0.95799999999999996</v>
      </c>
      <c r="Z191" s="27">
        <f>IF(T191&gt;0,Y191*X191,"")</f>
        <v>1.0525848859650115</v>
      </c>
      <c r="AA191" s="27">
        <f>IF(T191&gt;0,250*U191*J191,"")</f>
        <v>0.36476562499999987</v>
      </c>
      <c r="AB191" s="45" t="str">
        <f>IF(T191&gt;0,IF(W191&lt;=$B$13,"OK","No Cumple"),"")</f>
        <v>OK</v>
      </c>
      <c r="AC191" s="45" t="str">
        <f>IF(T191&gt;0,IF(Z191&gt;=$B$12,"OK","No Cumple"),"")</f>
        <v>OK</v>
      </c>
      <c r="AD191" s="45" t="str">
        <f>IF(T191&gt;0,IF(AA191&gt;$B$14,"OK","No Cumple"),"")</f>
        <v>OK</v>
      </c>
      <c r="AE191" s="32">
        <f>+IF(AB191="OK",1,0)</f>
        <v>1</v>
      </c>
      <c r="AF191" s="32">
        <f>+IF(AC191="OK",1,0)</f>
        <v>1</v>
      </c>
      <c r="AG191" s="32">
        <f>+IF(AD191="OK",1,0)</f>
        <v>1</v>
      </c>
      <c r="AH191" s="32">
        <f>SUM(AE191:AG191)</f>
        <v>3</v>
      </c>
      <c r="AI191" s="45">
        <f>IF(AH191=3,2*$B$7+U191,0)</f>
        <v>0.64500000000000002</v>
      </c>
      <c r="AJ191" s="21">
        <f>IF(AI191&gt;0,I191*VLOOKUP(T191,'$ alcantarillado'!$I$6:$K$22,3),0)</f>
        <v>1912173.3333333335</v>
      </c>
      <c r="AK191" s="61">
        <f t="shared" si="441"/>
        <v>2628504.0000000047</v>
      </c>
      <c r="AL191" s="61">
        <f t="shared" si="442"/>
        <v>1113279.6950000019</v>
      </c>
      <c r="AM191" s="21">
        <f>IF(AJ191&gt;0,AJ191+AK191+AL191,0)</f>
        <v>5653957.0283333398</v>
      </c>
      <c r="AN191" s="81">
        <f>IF(AP151&gt;0,+AP151,0)</f>
        <v>0</v>
      </c>
      <c r="AO191" s="77" t="str">
        <f>IF((AM191)&gt;0,IF(AN191&gt;0,AM191+AN191,""),"")</f>
        <v/>
      </c>
      <c r="AP191" s="213">
        <f>+MIN(AO191:AO195)</f>
        <v>12948066.997333346</v>
      </c>
      <c r="AQ191" s="7"/>
      <c r="AR191" s="8"/>
    </row>
    <row r="192" spans="1:44" x14ac:dyDescent="0.25">
      <c r="A192" s="211"/>
      <c r="B192" s="211"/>
      <c r="C192" s="211"/>
      <c r="D192" s="211"/>
      <c r="E192" s="5">
        <v>2</v>
      </c>
      <c r="F192" s="2">
        <f>+H156</f>
        <v>47.445</v>
      </c>
      <c r="G192" s="5">
        <v>4</v>
      </c>
      <c r="H192" s="15">
        <f>+H191</f>
        <v>46.765000000000001</v>
      </c>
      <c r="I192" s="2">
        <f>+I191</f>
        <v>80</v>
      </c>
      <c r="J192" s="18">
        <f t="shared" si="443"/>
        <v>8.4999999999999971E-3</v>
      </c>
      <c r="K192" s="2">
        <f>+K191</f>
        <v>948</v>
      </c>
      <c r="L192" s="15">
        <f t="shared" si="444"/>
        <v>13.275700000000001</v>
      </c>
      <c r="M192" s="33">
        <f t="shared" ref="M192:M195" si="488">+L192/1000</f>
        <v>1.32757E-2</v>
      </c>
      <c r="N192" s="33">
        <f t="shared" si="360"/>
        <v>0.13311799873800181</v>
      </c>
      <c r="O192" s="33">
        <f t="shared" si="361"/>
        <v>5.240866092047316</v>
      </c>
      <c r="P192" s="58">
        <f t="shared" si="362"/>
        <v>6</v>
      </c>
      <c r="Q192" s="55">
        <f>IF(O192&gt;0,VLOOKUP(P192,'$ alcantarillado'!$I$5:$L$22,4,FALSE),"0")</f>
        <v>0.14499999999999999</v>
      </c>
      <c r="R192" s="55">
        <f t="shared" si="363"/>
        <v>1.6675314080657526E-2</v>
      </c>
      <c r="S192" s="35">
        <f t="shared" si="364"/>
        <v>0.79612893261177631</v>
      </c>
      <c r="T192" s="58">
        <f>+IF(S192&gt;$B$13,VLOOKUP(P192,'$ alcantarillado'!$I$6:$N$22,5),P192)</f>
        <v>6</v>
      </c>
      <c r="U192" s="55">
        <f>IF(O192&gt;0,VLOOKUP(T192,'$ alcantarillado'!$I$5:$L$22,4),"0")</f>
        <v>0.14499999999999999</v>
      </c>
      <c r="V192" s="55">
        <f t="shared" si="365"/>
        <v>1.6675314080657526E-2</v>
      </c>
      <c r="W192" s="35">
        <f t="shared" si="472"/>
        <v>0.79612893261177631</v>
      </c>
      <c r="X192" s="35">
        <f t="shared" ref="X192:X195" si="489">IF(T192&gt;0,4*V192/(PI()*(U192)^2),"")</f>
        <v>1.0098296936205584</v>
      </c>
      <c r="Y192" s="55">
        <f>IF(T192&gt;0,(VLOOKUP($W192,Relaciones!$A$4:$D$108,2)),"")</f>
        <v>0.98</v>
      </c>
      <c r="Z192" s="35">
        <f t="shared" ref="Z192:Z195" si="490">IF(T192&gt;0,Y192*X192,"")</f>
        <v>0.98963309974814717</v>
      </c>
      <c r="AA192" s="35">
        <f t="shared" ref="AA192:AA195" si="491">IF(T192&gt;0,250*U192*J192,"")</f>
        <v>0.30812499999999987</v>
      </c>
      <c r="AB192" s="46" t="str">
        <f t="shared" ref="AB192:AB195" si="492">IF(T192&gt;0,IF(W192&lt;=$B$13,"OK","No Cumple"),"")</f>
        <v>OK</v>
      </c>
      <c r="AC192" s="46" t="str">
        <f t="shared" ref="AC192:AC195" si="493">IF(T192&gt;0,IF(Z192&gt;=$B$12,"OK","No Cumple"),"")</f>
        <v>OK</v>
      </c>
      <c r="AD192" s="46" t="str">
        <f t="shared" ref="AD192:AD195" si="494">IF(T192&gt;0,IF(AA192&gt;$B$14,"OK","No Cumple"),"")</f>
        <v>OK</v>
      </c>
      <c r="AE192" s="48">
        <f t="shared" ref="AE192:AG195" si="495">+IF(AB192="OK",1,0)</f>
        <v>1</v>
      </c>
      <c r="AF192" s="48">
        <f t="shared" si="495"/>
        <v>1</v>
      </c>
      <c r="AG192" s="48">
        <f t="shared" si="495"/>
        <v>1</v>
      </c>
      <c r="AH192" s="48">
        <f t="shared" ref="AH192:AH195" si="496">SUM(AE192:AG192)</f>
        <v>3</v>
      </c>
      <c r="AI192" s="46">
        <f t="shared" ref="AI192:AI195" si="497">IF(AH192=3,2*$B$7+U192,0)</f>
        <v>0.64500000000000002</v>
      </c>
      <c r="AJ192" s="20">
        <f>IF(AI192&gt;0,I192*VLOOKUP(T192,'$ alcantarillado'!$I$6:$K$22,3),0)</f>
        <v>1912173.3333333335</v>
      </c>
      <c r="AK192" s="20">
        <f t="shared" si="441"/>
        <v>2744604.0000000042</v>
      </c>
      <c r="AL192" s="20">
        <f t="shared" si="442"/>
        <v>1200527.3200000019</v>
      </c>
      <c r="AM192" s="20">
        <f t="shared" si="455"/>
        <v>5857304.6533333398</v>
      </c>
      <c r="AN192" s="80">
        <f>+AP156</f>
        <v>0</v>
      </c>
      <c r="AO192" s="78" t="str">
        <f t="shared" ref="AO192:AO195" si="498">IF((AM192)&gt;0,IF(AN192&gt;0,AM192+AN192,""),"")</f>
        <v/>
      </c>
      <c r="AP192" s="214"/>
      <c r="AQ192" s="2"/>
      <c r="AR192" s="9"/>
    </row>
    <row r="193" spans="1:44" x14ac:dyDescent="0.25">
      <c r="A193" s="211"/>
      <c r="B193" s="211"/>
      <c r="C193" s="211"/>
      <c r="D193" s="211"/>
      <c r="E193" s="56">
        <v>3</v>
      </c>
      <c r="F193" s="2">
        <f>+H161</f>
        <v>47.32</v>
      </c>
      <c r="G193" s="56">
        <v>4</v>
      </c>
      <c r="H193" s="15">
        <f t="shared" ref="H193:I194" si="499">+H192</f>
        <v>46.765000000000001</v>
      </c>
      <c r="I193" s="2">
        <f t="shared" si="499"/>
        <v>80</v>
      </c>
      <c r="J193" s="18">
        <f t="shared" si="443"/>
        <v>6.9374999999999966E-3</v>
      </c>
      <c r="K193" s="2">
        <f t="shared" ref="K193:K194" si="500">+K192</f>
        <v>948</v>
      </c>
      <c r="L193" s="15">
        <f t="shared" si="444"/>
        <v>13.275700000000001</v>
      </c>
      <c r="M193" s="33">
        <f t="shared" si="488"/>
        <v>1.32757E-2</v>
      </c>
      <c r="N193" s="33">
        <f t="shared" si="360"/>
        <v>0.13828569818226932</v>
      </c>
      <c r="O193" s="33">
        <f t="shared" si="361"/>
        <v>5.4443188260735953</v>
      </c>
      <c r="P193" s="58">
        <f t="shared" si="362"/>
        <v>6</v>
      </c>
      <c r="Q193" s="55">
        <f>IF(O193&gt;0,VLOOKUP(P193,'$ alcantarillado'!$I$5:$L$22,4,FALSE),"0")</f>
        <v>0.14499999999999999</v>
      </c>
      <c r="R193" s="55">
        <f t="shared" si="363"/>
        <v>1.5064893223453581E-2</v>
      </c>
      <c r="S193" s="35">
        <f t="shared" si="364"/>
        <v>0.88123425789250864</v>
      </c>
      <c r="T193" s="58">
        <f>+IF(S193&gt;$B$13,VLOOKUP(P193,'$ alcantarillado'!$I$6:$N$22,5),P193)</f>
        <v>8</v>
      </c>
      <c r="U193" s="55">
        <f>IF(O193&gt;0,VLOOKUP(T193,'$ alcantarillado'!$I$5:$L$22,4),"0")</f>
        <v>0.182</v>
      </c>
      <c r="V193" s="55">
        <f t="shared" si="365"/>
        <v>2.7616910119140928E-2</v>
      </c>
      <c r="W193" s="35">
        <f t="shared" si="472"/>
        <v>0.48070909970477765</v>
      </c>
      <c r="X193" s="35">
        <f t="shared" si="489"/>
        <v>1.0615548263219086</v>
      </c>
      <c r="Y193" s="55">
        <f>IF(T193&gt;0,(VLOOKUP($W193,Relaciones!$A$4:$D$108,2)),"")</f>
        <v>0.84</v>
      </c>
      <c r="Z193" s="35">
        <f t="shared" si="490"/>
        <v>0.89170605411040316</v>
      </c>
      <c r="AA193" s="35">
        <f t="shared" si="491"/>
        <v>0.31565624999999986</v>
      </c>
      <c r="AB193" s="46" t="str">
        <f t="shared" si="492"/>
        <v>OK</v>
      </c>
      <c r="AC193" s="46" t="str">
        <f t="shared" si="493"/>
        <v>OK</v>
      </c>
      <c r="AD193" s="46" t="str">
        <f t="shared" si="494"/>
        <v>OK</v>
      </c>
      <c r="AE193" s="48">
        <f t="shared" si="495"/>
        <v>1</v>
      </c>
      <c r="AF193" s="48">
        <f t="shared" si="495"/>
        <v>1</v>
      </c>
      <c r="AG193" s="48">
        <f t="shared" si="495"/>
        <v>1</v>
      </c>
      <c r="AH193" s="48">
        <f t="shared" si="496"/>
        <v>3</v>
      </c>
      <c r="AI193" s="46">
        <f t="shared" si="497"/>
        <v>0.68199999999999994</v>
      </c>
      <c r="AJ193" s="20">
        <f>IF(AI193&gt;0,I193*VLOOKUP(T193,'$ alcantarillado'!$I$6:$K$22,3),0)</f>
        <v>2654586.666666667</v>
      </c>
      <c r="AK193" s="20">
        <f t="shared" si="441"/>
        <v>3079311.840000004</v>
      </c>
      <c r="AL193" s="20">
        <f t="shared" si="442"/>
        <v>1313600.2420000019</v>
      </c>
      <c r="AM193" s="20">
        <f t="shared" si="455"/>
        <v>7047498.7486666739</v>
      </c>
      <c r="AN193" s="80">
        <f>+AP161</f>
        <v>5900568.248666672</v>
      </c>
      <c r="AO193" s="78">
        <f t="shared" si="498"/>
        <v>12948066.997333346</v>
      </c>
      <c r="AP193" s="215"/>
      <c r="AQ193" s="2">
        <v>3</v>
      </c>
      <c r="AR193" s="9">
        <v>4</v>
      </c>
    </row>
    <row r="194" spans="1:44" x14ac:dyDescent="0.25">
      <c r="A194" s="211"/>
      <c r="B194" s="211"/>
      <c r="C194" s="211"/>
      <c r="D194" s="211"/>
      <c r="E194" s="56">
        <v>4</v>
      </c>
      <c r="F194" s="2">
        <f>+H166</f>
        <v>47.195</v>
      </c>
      <c r="G194" s="56">
        <v>4</v>
      </c>
      <c r="H194" s="15">
        <f t="shared" si="499"/>
        <v>46.765000000000001</v>
      </c>
      <c r="I194" s="2">
        <f t="shared" si="499"/>
        <v>80</v>
      </c>
      <c r="J194" s="18">
        <f>+(F194-H194)/I194</f>
        <v>5.3749999999999961E-3</v>
      </c>
      <c r="K194" s="2">
        <f t="shared" si="500"/>
        <v>948</v>
      </c>
      <c r="L194" s="15">
        <f t="shared" si="444"/>
        <v>13.275700000000001</v>
      </c>
      <c r="M194" s="33">
        <f t="shared" si="488"/>
        <v>1.32757E-2</v>
      </c>
      <c r="N194" s="33">
        <f t="shared" si="360"/>
        <v>0.1450630704499157</v>
      </c>
      <c r="O194" s="33">
        <f t="shared" si="361"/>
        <v>5.711144505902193</v>
      </c>
      <c r="P194" s="58">
        <f t="shared" si="362"/>
        <v>6</v>
      </c>
      <c r="Q194" s="55">
        <f>IF(O194&gt;0,VLOOKUP(P194,'$ alcantarillado'!$I$5:$L$22,4,FALSE),"0")</f>
        <v>0.14499999999999999</v>
      </c>
      <c r="R194" s="55">
        <f t="shared" si="363"/>
        <v>1.3260313570181519E-2</v>
      </c>
      <c r="S194" s="35">
        <f t="shared" si="364"/>
        <v>1.0011603368002608</v>
      </c>
      <c r="T194" s="58">
        <f>+IF(S194&gt;$B$13,VLOOKUP(P194,'$ alcantarillado'!$I$6:$N$22,5),P194)</f>
        <v>8</v>
      </c>
      <c r="U194" s="55">
        <f>IF(O194&gt;0,VLOOKUP(T194,'$ alcantarillado'!$I$5:$L$22,4),"0")</f>
        <v>0.182</v>
      </c>
      <c r="V194" s="55">
        <f t="shared" si="365"/>
        <v>2.4308760944232927E-2</v>
      </c>
      <c r="W194" s="35">
        <f t="shared" si="472"/>
        <v>0.54612820581254518</v>
      </c>
      <c r="X194" s="35">
        <f t="shared" si="489"/>
        <v>0.9343942675314284</v>
      </c>
      <c r="Y194" s="55">
        <f>IF(T194&gt;0,(VLOOKUP($W194,Relaciones!$A$4:$D$108,2)),"")</f>
        <v>0.87</v>
      </c>
      <c r="Z194" s="35">
        <f t="shared" si="490"/>
        <v>0.81292301275234269</v>
      </c>
      <c r="AA194" s="35">
        <f t="shared" si="491"/>
        <v>0.24456249999999982</v>
      </c>
      <c r="AB194" s="46" t="str">
        <f t="shared" si="492"/>
        <v>OK</v>
      </c>
      <c r="AC194" s="46" t="str">
        <f t="shared" si="493"/>
        <v>OK</v>
      </c>
      <c r="AD194" s="46" t="str">
        <f t="shared" si="494"/>
        <v>OK</v>
      </c>
      <c r="AE194" s="48">
        <f t="shared" si="495"/>
        <v>1</v>
      </c>
      <c r="AF194" s="48">
        <f t="shared" si="495"/>
        <v>1</v>
      </c>
      <c r="AG194" s="48">
        <f t="shared" si="495"/>
        <v>1</v>
      </c>
      <c r="AH194" s="48">
        <f t="shared" si="496"/>
        <v>3</v>
      </c>
      <c r="AI194" s="46">
        <f t="shared" si="497"/>
        <v>0.68199999999999994</v>
      </c>
      <c r="AJ194" s="20">
        <f>IF(AI194&gt;0,I194*VLOOKUP(T194,'$ alcantarillado'!$I$6:$K$22,3),0)</f>
        <v>2654586.666666667</v>
      </c>
      <c r="AK194" s="20">
        <f t="shared" si="441"/>
        <v>3202071.840000004</v>
      </c>
      <c r="AL194" s="20">
        <f t="shared" si="442"/>
        <v>1400847.8670000019</v>
      </c>
      <c r="AM194" s="20">
        <f t="shared" si="455"/>
        <v>7257506.3736666739</v>
      </c>
      <c r="AN194" s="80">
        <f>+AP166</f>
        <v>5961948.248666672</v>
      </c>
      <c r="AO194" s="78">
        <f t="shared" si="498"/>
        <v>13219454.622333346</v>
      </c>
      <c r="AP194" s="215"/>
      <c r="AQ194" s="2"/>
      <c r="AR194" s="9"/>
    </row>
    <row r="195" spans="1:44" ht="15.75" thickBot="1" x14ac:dyDescent="0.3">
      <c r="A195" s="211"/>
      <c r="B195" s="211"/>
      <c r="C195" s="211"/>
      <c r="D195" s="211"/>
      <c r="E195" s="6">
        <v>5</v>
      </c>
      <c r="F195" s="16">
        <f>+H171</f>
        <v>47.07</v>
      </c>
      <c r="G195" s="6">
        <v>4</v>
      </c>
      <c r="H195" s="16">
        <f>+H194</f>
        <v>46.765000000000001</v>
      </c>
      <c r="I195" s="10">
        <f>+I194</f>
        <v>80</v>
      </c>
      <c r="J195" s="19">
        <f t="shared" si="443"/>
        <v>3.8124999999999964E-3</v>
      </c>
      <c r="K195" s="10">
        <f>+K194</f>
        <v>948</v>
      </c>
      <c r="L195" s="16">
        <f t="shared" si="444"/>
        <v>13.275700000000001</v>
      </c>
      <c r="M195" s="34">
        <f t="shared" si="488"/>
        <v>1.32757E-2</v>
      </c>
      <c r="N195" s="34">
        <f t="shared" si="360"/>
        <v>0.15471270563132869</v>
      </c>
      <c r="O195" s="34">
        <f t="shared" si="361"/>
        <v>6.0910514028082163</v>
      </c>
      <c r="P195" s="59">
        <f t="shared" si="362"/>
        <v>8</v>
      </c>
      <c r="Q195" s="55">
        <f>IF(O195&gt;0,VLOOKUP(P195,'$ alcantarillado'!$I$5:$L$22,4,FALSE),"0")</f>
        <v>0.182</v>
      </c>
      <c r="R195" s="47">
        <f t="shared" si="363"/>
        <v>2.0472859906691582E-2</v>
      </c>
      <c r="S195" s="35">
        <f t="shared" si="364"/>
        <v>0.64845361422420611</v>
      </c>
      <c r="T195" s="58">
        <f>+IF(S195&gt;$B$13,VLOOKUP(P195,'$ alcantarillado'!$I$6:$N$22,5),P195)</f>
        <v>8</v>
      </c>
      <c r="U195" s="55">
        <f>IF(O195&gt;0,VLOOKUP(T195,'$ alcantarillado'!$I$5:$L$22,4),"0")</f>
        <v>0.182</v>
      </c>
      <c r="V195" s="55">
        <f t="shared" si="365"/>
        <v>2.0472859906691582E-2</v>
      </c>
      <c r="W195" s="35">
        <f t="shared" si="472"/>
        <v>0.64845361422420611</v>
      </c>
      <c r="X195" s="35">
        <f t="shared" si="489"/>
        <v>0.78694767621732742</v>
      </c>
      <c r="Y195" s="55">
        <f>IF(T195&gt;0,(VLOOKUP($W195,Relaciones!$A$4:$D$108,2)),"")</f>
        <v>0.91800000000000004</v>
      </c>
      <c r="Z195" s="35">
        <f t="shared" si="490"/>
        <v>0.72241796676750658</v>
      </c>
      <c r="AA195" s="35">
        <f t="shared" si="491"/>
        <v>0.17346874999999984</v>
      </c>
      <c r="AB195" s="46" t="str">
        <f t="shared" si="492"/>
        <v>OK</v>
      </c>
      <c r="AC195" s="46" t="str">
        <f t="shared" si="493"/>
        <v>OK</v>
      </c>
      <c r="AD195" s="46" t="str">
        <f t="shared" si="494"/>
        <v>OK</v>
      </c>
      <c r="AE195" s="48">
        <f t="shared" si="495"/>
        <v>1</v>
      </c>
      <c r="AF195" s="48">
        <f t="shared" si="495"/>
        <v>1</v>
      </c>
      <c r="AG195" s="48">
        <f t="shared" si="495"/>
        <v>1</v>
      </c>
      <c r="AH195" s="48">
        <f t="shared" si="496"/>
        <v>3</v>
      </c>
      <c r="AI195" s="46">
        <f t="shared" si="497"/>
        <v>0.68199999999999994</v>
      </c>
      <c r="AJ195" s="22">
        <f>IF(AI195&gt;0,I195*VLOOKUP(T195,'$ alcantarillado'!$I$6:$K$22,3),0)</f>
        <v>2654586.666666667</v>
      </c>
      <c r="AK195" s="20">
        <f t="shared" si="441"/>
        <v>3324831.8400000031</v>
      </c>
      <c r="AL195" s="20">
        <f t="shared" si="442"/>
        <v>1488095.4920000019</v>
      </c>
      <c r="AM195" s="22">
        <f t="shared" si="455"/>
        <v>7467513.998666672</v>
      </c>
      <c r="AN195" s="82">
        <f>+AP171</f>
        <v>6023328.248666672</v>
      </c>
      <c r="AO195" s="79">
        <f t="shared" si="498"/>
        <v>13490842.247333344</v>
      </c>
      <c r="AP195" s="216"/>
      <c r="AQ195" s="10"/>
      <c r="AR195" s="11"/>
    </row>
    <row r="196" spans="1:44" x14ac:dyDescent="0.25">
      <c r="A196" s="211"/>
      <c r="B196" s="211"/>
      <c r="C196" s="211"/>
      <c r="D196" s="211"/>
      <c r="E196" s="4">
        <v>1</v>
      </c>
      <c r="F196" s="7">
        <f>+H151</f>
        <v>47.57</v>
      </c>
      <c r="G196" s="4">
        <v>5</v>
      </c>
      <c r="H196" s="14">
        <f>+H186-2*$B$15</f>
        <v>46.64</v>
      </c>
      <c r="I196" s="204">
        <f>+I191</f>
        <v>80</v>
      </c>
      <c r="J196" s="17">
        <f>+(F196-H196)/I196</f>
        <v>1.1624999999999996E-2</v>
      </c>
      <c r="K196" s="54">
        <f>+K191</f>
        <v>948</v>
      </c>
      <c r="L196" s="14">
        <f>IF(K196&lt;38,K196^0.3686*0.7401,IF(K196&lt;235,K196^0.4193*0.6215,IF(K196&lt;932,K196*0.0092+4.2493,K196*0.0069+6.7345)))</f>
        <v>13.275700000000001</v>
      </c>
      <c r="M196" s="31">
        <f>+L196/1000</f>
        <v>1.32757E-2</v>
      </c>
      <c r="N196" s="31">
        <f t="shared" si="360"/>
        <v>0.1255283002556522</v>
      </c>
      <c r="O196" s="31">
        <f t="shared" si="361"/>
        <v>4.942059065183158</v>
      </c>
      <c r="P196" s="57">
        <f t="shared" si="362"/>
        <v>6</v>
      </c>
      <c r="Q196" s="60">
        <f>IF(O196&gt;0,VLOOKUP(P196,'$ alcantarillado'!$I$5:$L$22,4,FALSE),"0")</f>
        <v>0.14499999999999999</v>
      </c>
      <c r="R196" s="60">
        <f t="shared" si="363"/>
        <v>1.9501186717674649E-2</v>
      </c>
      <c r="S196" s="27">
        <f t="shared" si="364"/>
        <v>0.68076369875315024</v>
      </c>
      <c r="T196" s="57">
        <f>+IF(S196&gt;$B$13,VLOOKUP(P196,'$ alcantarillado'!$I$6:$N$22,5),P196)</f>
        <v>6</v>
      </c>
      <c r="U196" s="60">
        <f>IF(O196&gt;0,VLOOKUP(T196,'$ alcantarillado'!$I$5:$L$22,4),"0")</f>
        <v>0.14499999999999999</v>
      </c>
      <c r="V196" s="60">
        <f t="shared" si="365"/>
        <v>1.9501186717674649E-2</v>
      </c>
      <c r="W196" s="27">
        <f t="shared" si="472"/>
        <v>0.68076369875315024</v>
      </c>
      <c r="X196" s="27">
        <f>IF(T196&gt;0,4*V196/(PI()*(U196)^2),"")</f>
        <v>1.1809599095461343</v>
      </c>
      <c r="Y196" s="60">
        <f>IF(T196&gt;0,(VLOOKUP($W196,Relaciones!$A$4:$D$108,2)),"")</f>
        <v>0.93600000000000005</v>
      </c>
      <c r="Z196" s="27">
        <f>IF(T196&gt;0,Y196*X196,"")</f>
        <v>1.1053784753351819</v>
      </c>
      <c r="AA196" s="27">
        <f>IF(T196&gt;0,250*U196*J196,"")</f>
        <v>0.42140624999999987</v>
      </c>
      <c r="AB196" s="45" t="str">
        <f>IF(T196&gt;0,IF(W196&lt;=$B$13,"OK","No Cumple"),"")</f>
        <v>OK</v>
      </c>
      <c r="AC196" s="45" t="str">
        <f>IF(T196&gt;0,IF(Z196&gt;=$B$12,"OK","No Cumple"),"")</f>
        <v>OK</v>
      </c>
      <c r="AD196" s="45" t="str">
        <f>IF(T196&gt;0,IF(AA196&gt;$B$14,"OK","No Cumple"),"")</f>
        <v>OK</v>
      </c>
      <c r="AE196" s="32">
        <f>+IF(AB196="OK",1,0)</f>
        <v>1</v>
      </c>
      <c r="AF196" s="32">
        <f>+IF(AC196="OK",1,0)</f>
        <v>1</v>
      </c>
      <c r="AG196" s="32">
        <f>+IF(AD196="OK",1,0)</f>
        <v>1</v>
      </c>
      <c r="AH196" s="32">
        <f>SUM(AE196:AG196)</f>
        <v>3</v>
      </c>
      <c r="AI196" s="45">
        <f>IF(AH196=3,2*$B$7+U196,0)</f>
        <v>0.64500000000000002</v>
      </c>
      <c r="AJ196" s="21">
        <f>IF(AI196&gt;0,I196*VLOOKUP(T196,'$ alcantarillado'!$I$6:$K$22,3),0)</f>
        <v>1912173.3333333335</v>
      </c>
      <c r="AK196" s="61">
        <f t="shared" si="441"/>
        <v>2686554.0000000042</v>
      </c>
      <c r="AL196" s="61">
        <f t="shared" si="442"/>
        <v>1113279.6950000019</v>
      </c>
      <c r="AM196" s="21">
        <f>IF(AJ196&gt;0,AJ196+AK196+AL196,0)</f>
        <v>5712007.0283333398</v>
      </c>
      <c r="AN196" s="81">
        <f>IF(AP151&gt;0,+AP151,0)</f>
        <v>0</v>
      </c>
      <c r="AO196" s="77" t="str">
        <f>IF((AM196)&gt;0,IF(AN196&gt;0,AM196+AN196,""),"")</f>
        <v/>
      </c>
      <c r="AP196" s="213">
        <f>+MIN(AO196:AO200)</f>
        <v>12019270.527000012</v>
      </c>
      <c r="AQ196" s="7"/>
      <c r="AR196" s="8"/>
    </row>
    <row r="197" spans="1:44" x14ac:dyDescent="0.25">
      <c r="A197" s="211"/>
      <c r="B197" s="211"/>
      <c r="C197" s="211"/>
      <c r="D197" s="211"/>
      <c r="E197" s="5">
        <v>2</v>
      </c>
      <c r="F197" s="2">
        <f>+H156</f>
        <v>47.445</v>
      </c>
      <c r="G197" s="5">
        <v>5</v>
      </c>
      <c r="H197" s="15">
        <f>+H196</f>
        <v>46.64</v>
      </c>
      <c r="I197" s="205">
        <f>+I196</f>
        <v>80</v>
      </c>
      <c r="J197" s="18">
        <f t="shared" si="443"/>
        <v>1.0062499999999997E-2</v>
      </c>
      <c r="K197" s="2">
        <f>+K196</f>
        <v>948</v>
      </c>
      <c r="L197" s="15">
        <f t="shared" si="444"/>
        <v>13.275700000000001</v>
      </c>
      <c r="M197" s="33">
        <f t="shared" ref="M197:M200" si="501">+L197/1000</f>
        <v>1.32757E-2</v>
      </c>
      <c r="N197" s="33">
        <f t="shared" si="360"/>
        <v>0.12897201154864099</v>
      </c>
      <c r="O197" s="33">
        <f t="shared" si="361"/>
        <v>5.0776382499464958</v>
      </c>
      <c r="P197" s="58">
        <f t="shared" si="362"/>
        <v>6</v>
      </c>
      <c r="Q197" s="55">
        <f>IF(O197&gt;0,VLOOKUP(P197,'$ alcantarillado'!$I$5:$L$22,4,FALSE),"0")</f>
        <v>0.14499999999999999</v>
      </c>
      <c r="R197" s="55">
        <f t="shared" si="363"/>
        <v>1.8143351166283826E-2</v>
      </c>
      <c r="S197" s="35">
        <f t="shared" si="364"/>
        <v>0.73171157182199698</v>
      </c>
      <c r="T197" s="58">
        <f>+IF(S197&gt;$B$13,VLOOKUP(P197,'$ alcantarillado'!$I$6:$N$22,5),P197)</f>
        <v>6</v>
      </c>
      <c r="U197" s="55">
        <f>IF(O197&gt;0,VLOOKUP(T197,'$ alcantarillado'!$I$5:$L$22,4),"0")</f>
        <v>0.14499999999999999</v>
      </c>
      <c r="V197" s="55">
        <f t="shared" si="365"/>
        <v>1.8143351166283826E-2</v>
      </c>
      <c r="W197" s="35">
        <f t="shared" si="472"/>
        <v>0.73171157182199698</v>
      </c>
      <c r="X197" s="35">
        <f t="shared" ref="X197:X200" si="502">IF(T197&gt;0,4*V197/(PI()*(U197)^2),"")</f>
        <v>1.0987316137421832</v>
      </c>
      <c r="Y197" s="55">
        <f>IF(T197&gt;0,(VLOOKUP($W197,Relaciones!$A$4:$D$108,2)),"")</f>
        <v>0.95799999999999996</v>
      </c>
      <c r="Z197" s="35">
        <f t="shared" ref="Z197:Z200" si="503">IF(T197&gt;0,Y197*X197,"")</f>
        <v>1.0525848859650115</v>
      </c>
      <c r="AA197" s="35">
        <f t="shared" ref="AA197:AA200" si="504">IF(T197&gt;0,250*U197*J197,"")</f>
        <v>0.36476562499999987</v>
      </c>
      <c r="AB197" s="46" t="str">
        <f t="shared" ref="AB197:AB200" si="505">IF(T197&gt;0,IF(W197&lt;=$B$13,"OK","No Cumple"),"")</f>
        <v>OK</v>
      </c>
      <c r="AC197" s="46" t="str">
        <f t="shared" ref="AC197:AC200" si="506">IF(T197&gt;0,IF(Z197&gt;=$B$12,"OK","No Cumple"),"")</f>
        <v>OK</v>
      </c>
      <c r="AD197" s="46" t="str">
        <f t="shared" ref="AD197:AD200" si="507">IF(T197&gt;0,IF(AA197&gt;$B$14,"OK","No Cumple"),"")</f>
        <v>OK</v>
      </c>
      <c r="AE197" s="48">
        <f t="shared" ref="AE197:AG200" si="508">+IF(AB197="OK",1,0)</f>
        <v>1</v>
      </c>
      <c r="AF197" s="48">
        <f t="shared" si="508"/>
        <v>1</v>
      </c>
      <c r="AG197" s="48">
        <f t="shared" si="508"/>
        <v>1</v>
      </c>
      <c r="AH197" s="48">
        <f t="shared" ref="AH197:AH200" si="509">SUM(AE197:AG197)</f>
        <v>3</v>
      </c>
      <c r="AI197" s="46">
        <f t="shared" ref="AI197:AI200" si="510">IF(AH197=3,2*$B$7+U197,0)</f>
        <v>0.64500000000000002</v>
      </c>
      <c r="AJ197" s="20">
        <f>IF(AI197&gt;0,I197*VLOOKUP(T197,'$ alcantarillado'!$I$6:$K$22,3),0)</f>
        <v>1912173.3333333335</v>
      </c>
      <c r="AK197" s="20">
        <f t="shared" si="441"/>
        <v>2802654.0000000047</v>
      </c>
      <c r="AL197" s="20">
        <f t="shared" si="442"/>
        <v>1200527.3200000019</v>
      </c>
      <c r="AM197" s="20">
        <f t="shared" si="455"/>
        <v>5915354.6533333398</v>
      </c>
      <c r="AN197" s="80">
        <f>+AP156</f>
        <v>0</v>
      </c>
      <c r="AO197" s="78" t="str">
        <f t="shared" ref="AO197:AO200" si="511">IF((AM197)&gt;0,IF(AN197&gt;0,AM197+AN197,""),"")</f>
        <v/>
      </c>
      <c r="AP197" s="214"/>
      <c r="AQ197" s="2"/>
      <c r="AR197" s="9"/>
    </row>
    <row r="198" spans="1:44" x14ac:dyDescent="0.25">
      <c r="A198" s="211"/>
      <c r="B198" s="211"/>
      <c r="C198" s="211"/>
      <c r="D198" s="211"/>
      <c r="E198" s="56">
        <v>3</v>
      </c>
      <c r="F198" s="2">
        <f>+H161</f>
        <v>47.32</v>
      </c>
      <c r="G198" s="56">
        <v>5</v>
      </c>
      <c r="H198" s="15">
        <f t="shared" ref="H198:I199" si="512">+H197</f>
        <v>46.64</v>
      </c>
      <c r="I198" s="205">
        <f t="shared" si="512"/>
        <v>80</v>
      </c>
      <c r="J198" s="18">
        <f t="shared" si="443"/>
        <v>8.4999999999999971E-3</v>
      </c>
      <c r="K198" s="2">
        <f t="shared" ref="K198:K199" si="513">+K197</f>
        <v>948</v>
      </c>
      <c r="L198" s="15">
        <f t="shared" si="444"/>
        <v>13.275700000000001</v>
      </c>
      <c r="M198" s="33">
        <f t="shared" si="501"/>
        <v>1.32757E-2</v>
      </c>
      <c r="N198" s="33">
        <f t="shared" si="360"/>
        <v>0.13311799873800181</v>
      </c>
      <c r="O198" s="33">
        <f t="shared" si="361"/>
        <v>5.240866092047316</v>
      </c>
      <c r="P198" s="58">
        <f t="shared" si="362"/>
        <v>6</v>
      </c>
      <c r="Q198" s="55">
        <f>IF(O198&gt;0,VLOOKUP(P198,'$ alcantarillado'!$I$5:$L$22,4,FALSE),"0")</f>
        <v>0.14499999999999999</v>
      </c>
      <c r="R198" s="55">
        <f t="shared" si="363"/>
        <v>1.6675314080657526E-2</v>
      </c>
      <c r="S198" s="35">
        <f t="shared" si="364"/>
        <v>0.79612893261177631</v>
      </c>
      <c r="T198" s="58">
        <f>+IF(S198&gt;$B$13,VLOOKUP(P198,'$ alcantarillado'!$I$6:$N$22,5),P198)</f>
        <v>6</v>
      </c>
      <c r="U198" s="55">
        <f>IF(O198&gt;0,VLOOKUP(T198,'$ alcantarillado'!$I$5:$L$22,4),"0")</f>
        <v>0.14499999999999999</v>
      </c>
      <c r="V198" s="55">
        <f t="shared" si="365"/>
        <v>1.6675314080657526E-2</v>
      </c>
      <c r="W198" s="35">
        <f t="shared" si="472"/>
        <v>0.79612893261177631</v>
      </c>
      <c r="X198" s="35">
        <f t="shared" si="502"/>
        <v>1.0098296936205584</v>
      </c>
      <c r="Y198" s="55">
        <f>IF(T198&gt;0,(VLOOKUP($W198,Relaciones!$A$4:$D$108,2)),"")</f>
        <v>0.98</v>
      </c>
      <c r="Z198" s="35">
        <f t="shared" si="503"/>
        <v>0.98963309974814717</v>
      </c>
      <c r="AA198" s="35">
        <f t="shared" si="504"/>
        <v>0.30812499999999987</v>
      </c>
      <c r="AB198" s="46" t="str">
        <f t="shared" si="505"/>
        <v>OK</v>
      </c>
      <c r="AC198" s="46" t="str">
        <f t="shared" si="506"/>
        <v>OK</v>
      </c>
      <c r="AD198" s="46" t="str">
        <f t="shared" si="507"/>
        <v>OK</v>
      </c>
      <c r="AE198" s="48">
        <f t="shared" si="508"/>
        <v>1</v>
      </c>
      <c r="AF198" s="48">
        <f t="shared" si="508"/>
        <v>1</v>
      </c>
      <c r="AG198" s="48">
        <f t="shared" si="508"/>
        <v>1</v>
      </c>
      <c r="AH198" s="48">
        <f t="shared" si="509"/>
        <v>3</v>
      </c>
      <c r="AI198" s="46">
        <f t="shared" si="510"/>
        <v>0.64500000000000002</v>
      </c>
      <c r="AJ198" s="20">
        <f>IF(AI198&gt;0,I198*VLOOKUP(T198,'$ alcantarillado'!$I$6:$K$22,3),0)</f>
        <v>1912173.3333333335</v>
      </c>
      <c r="AK198" s="20">
        <f t="shared" si="441"/>
        <v>2918754.0000000047</v>
      </c>
      <c r="AL198" s="20">
        <f t="shared" si="442"/>
        <v>1287774.9450000019</v>
      </c>
      <c r="AM198" s="20">
        <f t="shared" si="455"/>
        <v>6118702.2783333398</v>
      </c>
      <c r="AN198" s="80">
        <f>+AP161</f>
        <v>5900568.248666672</v>
      </c>
      <c r="AO198" s="78">
        <f t="shared" si="511"/>
        <v>12019270.527000012</v>
      </c>
      <c r="AP198" s="215"/>
      <c r="AQ198" s="2">
        <v>3</v>
      </c>
      <c r="AR198" s="9">
        <v>5</v>
      </c>
    </row>
    <row r="199" spans="1:44" x14ac:dyDescent="0.25">
      <c r="A199" s="211"/>
      <c r="B199" s="211"/>
      <c r="C199" s="211"/>
      <c r="D199" s="211"/>
      <c r="E199" s="56">
        <v>4</v>
      </c>
      <c r="F199" s="2">
        <f>+H166</f>
        <v>47.195</v>
      </c>
      <c r="G199" s="56">
        <v>5</v>
      </c>
      <c r="H199" s="15">
        <f t="shared" si="512"/>
        <v>46.64</v>
      </c>
      <c r="I199" s="205">
        <f t="shared" si="512"/>
        <v>80</v>
      </c>
      <c r="J199" s="18">
        <f>+(F199-H199)/I199</f>
        <v>6.9374999999999966E-3</v>
      </c>
      <c r="K199" s="2">
        <f t="shared" si="513"/>
        <v>948</v>
      </c>
      <c r="L199" s="15">
        <f t="shared" si="444"/>
        <v>13.275700000000001</v>
      </c>
      <c r="M199" s="33">
        <f t="shared" si="501"/>
        <v>1.32757E-2</v>
      </c>
      <c r="N199" s="33">
        <f t="shared" si="360"/>
        <v>0.13828569818226932</v>
      </c>
      <c r="O199" s="33">
        <f t="shared" si="361"/>
        <v>5.4443188260735953</v>
      </c>
      <c r="P199" s="58">
        <f t="shared" si="362"/>
        <v>6</v>
      </c>
      <c r="Q199" s="55">
        <f>IF(O199&gt;0,VLOOKUP(P199,'$ alcantarillado'!$I$5:$L$22,4,FALSE),"0")</f>
        <v>0.14499999999999999</v>
      </c>
      <c r="R199" s="55">
        <f t="shared" si="363"/>
        <v>1.5064893223453581E-2</v>
      </c>
      <c r="S199" s="35">
        <f t="shared" si="364"/>
        <v>0.88123425789250864</v>
      </c>
      <c r="T199" s="58">
        <f>+IF(S199&gt;$B$13,VLOOKUP(P199,'$ alcantarillado'!$I$6:$N$22,5),P199)</f>
        <v>8</v>
      </c>
      <c r="U199" s="55">
        <f>IF(O199&gt;0,VLOOKUP(T199,'$ alcantarillado'!$I$5:$L$22,4),"0")</f>
        <v>0.182</v>
      </c>
      <c r="V199" s="55">
        <f t="shared" si="365"/>
        <v>2.7616910119140928E-2</v>
      </c>
      <c r="W199" s="35">
        <f t="shared" si="472"/>
        <v>0.48070909970477765</v>
      </c>
      <c r="X199" s="35">
        <f t="shared" si="502"/>
        <v>1.0615548263219086</v>
      </c>
      <c r="Y199" s="55">
        <f>IF(T199&gt;0,(VLOOKUP($W199,Relaciones!$A$4:$D$108,2)),"")</f>
        <v>0.84</v>
      </c>
      <c r="Z199" s="35">
        <f t="shared" si="503"/>
        <v>0.89170605411040316</v>
      </c>
      <c r="AA199" s="35">
        <f t="shared" si="504"/>
        <v>0.31565624999999986</v>
      </c>
      <c r="AB199" s="46" t="str">
        <f t="shared" si="505"/>
        <v>OK</v>
      </c>
      <c r="AC199" s="46" t="str">
        <f t="shared" si="506"/>
        <v>OK</v>
      </c>
      <c r="AD199" s="46" t="str">
        <f t="shared" si="507"/>
        <v>OK</v>
      </c>
      <c r="AE199" s="48">
        <f t="shared" si="508"/>
        <v>1</v>
      </c>
      <c r="AF199" s="48">
        <f t="shared" si="508"/>
        <v>1</v>
      </c>
      <c r="AG199" s="48">
        <f t="shared" si="508"/>
        <v>1</v>
      </c>
      <c r="AH199" s="48">
        <f t="shared" si="509"/>
        <v>3</v>
      </c>
      <c r="AI199" s="46">
        <f t="shared" si="510"/>
        <v>0.68199999999999994</v>
      </c>
      <c r="AJ199" s="20">
        <f>IF(AI199&gt;0,I199*VLOOKUP(T199,'$ alcantarillado'!$I$6:$K$22,3),0)</f>
        <v>2654586.666666667</v>
      </c>
      <c r="AK199" s="20">
        <f t="shared" si="441"/>
        <v>3263451.840000004</v>
      </c>
      <c r="AL199" s="20">
        <f t="shared" si="442"/>
        <v>1400847.8670000019</v>
      </c>
      <c r="AM199" s="20">
        <f t="shared" si="455"/>
        <v>7318886.3736666739</v>
      </c>
      <c r="AN199" s="80">
        <f>+AP166</f>
        <v>5961948.248666672</v>
      </c>
      <c r="AO199" s="78">
        <f t="shared" si="511"/>
        <v>13280834.622333346</v>
      </c>
      <c r="AP199" s="215"/>
      <c r="AQ199" s="2"/>
      <c r="AR199" s="9"/>
    </row>
    <row r="200" spans="1:44" ht="15.75" thickBot="1" x14ac:dyDescent="0.3">
      <c r="A200" s="212"/>
      <c r="B200" s="212"/>
      <c r="C200" s="212"/>
      <c r="D200" s="212"/>
      <c r="E200" s="6">
        <v>5</v>
      </c>
      <c r="F200" s="16">
        <f>+H171</f>
        <v>47.07</v>
      </c>
      <c r="G200" s="6">
        <v>5</v>
      </c>
      <c r="H200" s="16">
        <f>+H199</f>
        <v>46.64</v>
      </c>
      <c r="I200" s="206">
        <f>+I199</f>
        <v>80</v>
      </c>
      <c r="J200" s="19">
        <f t="shared" si="443"/>
        <v>5.3749999999999961E-3</v>
      </c>
      <c r="K200" s="10">
        <f>+K199</f>
        <v>948</v>
      </c>
      <c r="L200" s="16">
        <f t="shared" si="444"/>
        <v>13.275700000000001</v>
      </c>
      <c r="M200" s="34">
        <f t="shared" si="501"/>
        <v>1.32757E-2</v>
      </c>
      <c r="N200" s="34">
        <f t="shared" si="360"/>
        <v>0.1450630704499157</v>
      </c>
      <c r="O200" s="34">
        <f t="shared" si="361"/>
        <v>5.711144505902193</v>
      </c>
      <c r="P200" s="59">
        <f t="shared" si="362"/>
        <v>6</v>
      </c>
      <c r="Q200" s="110">
        <f>IF(O200&gt;0,VLOOKUP(P200,'$ alcantarillado'!$I$5:$L$22,4,FALSE),"0")</f>
        <v>0.14499999999999999</v>
      </c>
      <c r="R200" s="47">
        <f t="shared" si="363"/>
        <v>1.3260313570181519E-2</v>
      </c>
      <c r="S200" s="65">
        <f t="shared" si="364"/>
        <v>1.0011603368002608</v>
      </c>
      <c r="T200" s="59">
        <f>+IF(S200&gt;$B$13,VLOOKUP(P200,'$ alcantarillado'!$I$6:$N$22,5),P200)</f>
        <v>8</v>
      </c>
      <c r="U200" s="47">
        <f>IF(O200&gt;0,VLOOKUP(T200,'$ alcantarillado'!$I$5:$L$22,4),"0")</f>
        <v>0.182</v>
      </c>
      <c r="V200" s="47">
        <f t="shared" si="365"/>
        <v>2.4308760944232927E-2</v>
      </c>
      <c r="W200" s="65">
        <f t="shared" si="472"/>
        <v>0.54612820581254518</v>
      </c>
      <c r="X200" s="65">
        <f t="shared" si="502"/>
        <v>0.9343942675314284</v>
      </c>
      <c r="Y200" s="47">
        <f>IF(T200&gt;0,(VLOOKUP($W200,Relaciones!$A$4:$D$108,2)),"")</f>
        <v>0.87</v>
      </c>
      <c r="Z200" s="65">
        <f t="shared" si="503"/>
        <v>0.81292301275234269</v>
      </c>
      <c r="AA200" s="65">
        <f t="shared" si="504"/>
        <v>0.24456249999999982</v>
      </c>
      <c r="AB200" s="110" t="str">
        <f t="shared" si="505"/>
        <v>OK</v>
      </c>
      <c r="AC200" s="110" t="str">
        <f t="shared" si="506"/>
        <v>OK</v>
      </c>
      <c r="AD200" s="110" t="str">
        <f t="shared" si="507"/>
        <v>OK</v>
      </c>
      <c r="AE200" s="111">
        <f t="shared" si="508"/>
        <v>1</v>
      </c>
      <c r="AF200" s="111">
        <f t="shared" si="508"/>
        <v>1</v>
      </c>
      <c r="AG200" s="111">
        <f t="shared" si="508"/>
        <v>1</v>
      </c>
      <c r="AH200" s="111">
        <f t="shared" si="509"/>
        <v>3</v>
      </c>
      <c r="AI200" s="110">
        <f t="shared" si="510"/>
        <v>0.68199999999999994</v>
      </c>
      <c r="AJ200" s="22">
        <f>IF(AI200&gt;0,I200*VLOOKUP(T200,'$ alcantarillado'!$I$6:$K$22,3),0)</f>
        <v>2654586.666666667</v>
      </c>
      <c r="AK200" s="22">
        <f t="shared" si="441"/>
        <v>3386211.8400000036</v>
      </c>
      <c r="AL200" s="22">
        <f t="shared" si="442"/>
        <v>1488095.4920000019</v>
      </c>
      <c r="AM200" s="22">
        <f t="shared" si="455"/>
        <v>7528893.998666672</v>
      </c>
      <c r="AN200" s="82">
        <f>+AP171</f>
        <v>6023328.248666672</v>
      </c>
      <c r="AO200" s="79">
        <f t="shared" si="511"/>
        <v>13552222.247333344</v>
      </c>
      <c r="AP200" s="216"/>
      <c r="AQ200" s="10"/>
      <c r="AR200" s="11"/>
    </row>
    <row r="201" spans="1:44" x14ac:dyDescent="0.25">
      <c r="D201" s="53">
        <v>49.09</v>
      </c>
      <c r="AA201" s="2"/>
      <c r="AF201" s="2"/>
      <c r="AH201" s="2"/>
    </row>
    <row r="203" spans="1:44" x14ac:dyDescent="0.25">
      <c r="AO203">
        <f>+COUNTBLANK(AO23:AO200)</f>
        <v>100</v>
      </c>
    </row>
  </sheetData>
  <mergeCells count="99">
    <mergeCell ref="A176:A200"/>
    <mergeCell ref="B176:B200"/>
    <mergeCell ref="C176:C200"/>
    <mergeCell ref="D176:D200"/>
    <mergeCell ref="AP176:AP180"/>
    <mergeCell ref="AP181:AP185"/>
    <mergeCell ref="AP186:AP190"/>
    <mergeCell ref="AP191:AP195"/>
    <mergeCell ref="AP196:AP200"/>
    <mergeCell ref="A151:A175"/>
    <mergeCell ref="B151:B175"/>
    <mergeCell ref="C151:C175"/>
    <mergeCell ref="D151:D175"/>
    <mergeCell ref="AP151:AP155"/>
    <mergeCell ref="AP156:AP160"/>
    <mergeCell ref="AP161:AP165"/>
    <mergeCell ref="AP166:AP170"/>
    <mergeCell ref="AP171:AP175"/>
    <mergeCell ref="A123:A147"/>
    <mergeCell ref="B123:B147"/>
    <mergeCell ref="C123:C147"/>
    <mergeCell ref="D123:D147"/>
    <mergeCell ref="AP123:AP127"/>
    <mergeCell ref="AP128:AP132"/>
    <mergeCell ref="AP133:AP137"/>
    <mergeCell ref="AP138:AP142"/>
    <mergeCell ref="AP143:AP147"/>
    <mergeCell ref="A98:A122"/>
    <mergeCell ref="B98:B122"/>
    <mergeCell ref="C98:C122"/>
    <mergeCell ref="D98:D122"/>
    <mergeCell ref="AP98:AP102"/>
    <mergeCell ref="AP103:AP107"/>
    <mergeCell ref="AP108:AP112"/>
    <mergeCell ref="AP113:AP117"/>
    <mergeCell ref="AP118:AP122"/>
    <mergeCell ref="AP63:AP67"/>
    <mergeCell ref="AP68:AP72"/>
    <mergeCell ref="A73:A97"/>
    <mergeCell ref="B73:B97"/>
    <mergeCell ref="C73:C97"/>
    <mergeCell ref="D73:D97"/>
    <mergeCell ref="AP73:AP77"/>
    <mergeCell ref="AP78:AP82"/>
    <mergeCell ref="AP83:AP87"/>
    <mergeCell ref="AP88:AP92"/>
    <mergeCell ref="AP93:AP97"/>
    <mergeCell ref="AP28:AP32"/>
    <mergeCell ref="AP33:AP37"/>
    <mergeCell ref="AP38:AP42"/>
    <mergeCell ref="AP43:AP47"/>
    <mergeCell ref="A48:A72"/>
    <mergeCell ref="B48:B72"/>
    <mergeCell ref="C48:C72"/>
    <mergeCell ref="D48:D72"/>
    <mergeCell ref="AP48:AP52"/>
    <mergeCell ref="AP53:AP57"/>
    <mergeCell ref="A23:A47"/>
    <mergeCell ref="B23:B47"/>
    <mergeCell ref="C23:C47"/>
    <mergeCell ref="D23:D47"/>
    <mergeCell ref="AP23:AP27"/>
    <mergeCell ref="AP58:AP62"/>
    <mergeCell ref="AD20:AD21"/>
    <mergeCell ref="AE20:AH21"/>
    <mergeCell ref="AI20:AI21"/>
    <mergeCell ref="AJ20:AL20"/>
    <mergeCell ref="AQ20:AR20"/>
    <mergeCell ref="N20:N21"/>
    <mergeCell ref="O20:O21"/>
    <mergeCell ref="P20:P21"/>
    <mergeCell ref="AC20:AC21"/>
    <mergeCell ref="R20:R21"/>
    <mergeCell ref="S20:S21"/>
    <mergeCell ref="T20:T21"/>
    <mergeCell ref="U20:U21"/>
    <mergeCell ref="V20:V21"/>
    <mergeCell ref="W20:W21"/>
    <mergeCell ref="X20:X21"/>
    <mergeCell ref="Y20:Y21"/>
    <mergeCell ref="Z20:Z21"/>
    <mergeCell ref="AA20:AA21"/>
    <mergeCell ref="AB20:AB21"/>
    <mergeCell ref="E20:E21"/>
    <mergeCell ref="A16:AR16"/>
    <mergeCell ref="B8:C8"/>
    <mergeCell ref="A20:A22"/>
    <mergeCell ref="B20:B22"/>
    <mergeCell ref="C20:C22"/>
    <mergeCell ref="D20:D22"/>
    <mergeCell ref="Q20:Q21"/>
    <mergeCell ref="F20:F21"/>
    <mergeCell ref="G20:G21"/>
    <mergeCell ref="H20:H21"/>
    <mergeCell ref="I20:I21"/>
    <mergeCell ref="J20:J21"/>
    <mergeCell ref="K20:K21"/>
    <mergeCell ref="L20:L21"/>
    <mergeCell ref="M20:M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32767" scale="4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2:AR203"/>
  <sheetViews>
    <sheetView view="pageBreakPreview" topLeftCell="K1" zoomScale="40" zoomScaleNormal="70" zoomScaleSheetLayoutView="40" workbookViewId="0">
      <selection activeCell="T4" sqref="T4"/>
    </sheetView>
  </sheetViews>
  <sheetFormatPr baseColWidth="10" defaultRowHeight="15" x14ac:dyDescent="0.25"/>
  <cols>
    <col min="1" max="1" width="9.85546875" customWidth="1"/>
    <col min="2" max="2" width="11.5703125" customWidth="1"/>
    <col min="3" max="3" width="18" customWidth="1"/>
    <col min="4" max="4" width="10" customWidth="1"/>
    <col min="5" max="5" width="18.140625" customWidth="1"/>
    <col min="6" max="6" width="10" customWidth="1"/>
    <col min="7" max="7" width="18.28515625" customWidth="1"/>
    <col min="8" max="8" width="10" customWidth="1"/>
    <col min="9" max="9" width="16.28515625" customWidth="1"/>
    <col min="10" max="12" width="14.85546875" customWidth="1"/>
    <col min="13" max="13" width="14.42578125" customWidth="1"/>
    <col min="14" max="14" width="10.5703125" customWidth="1"/>
    <col min="15" max="15" width="10" customWidth="1"/>
    <col min="16" max="16" width="14.140625" customWidth="1"/>
    <col min="17" max="17" width="14.85546875" customWidth="1"/>
    <col min="18" max="18" width="11" customWidth="1"/>
    <col min="19" max="19" width="8.5703125" customWidth="1"/>
    <col min="20" max="20" width="16.5703125" customWidth="1"/>
    <col min="21" max="21" width="14.5703125" customWidth="1"/>
    <col min="22" max="23" width="8.5703125" customWidth="1"/>
    <col min="24" max="24" width="13.5703125" customWidth="1"/>
    <col min="25" max="27" width="10.140625" customWidth="1"/>
    <col min="28" max="29" width="11" bestFit="1" customWidth="1"/>
    <col min="30" max="30" width="15.140625" bestFit="1" customWidth="1"/>
    <col min="31" max="31" width="5.85546875" bestFit="1" customWidth="1"/>
    <col min="32" max="32" width="4" customWidth="1"/>
    <col min="33" max="33" width="4.140625" customWidth="1"/>
    <col min="34" max="34" width="9.5703125" bestFit="1" customWidth="1"/>
    <col min="35" max="35" width="14.42578125" customWidth="1"/>
    <col min="36" max="36" width="20.140625" customWidth="1"/>
    <col min="37" max="37" width="18.85546875" customWidth="1"/>
    <col min="38" max="38" width="19.28515625" customWidth="1"/>
    <col min="39" max="39" width="20" customWidth="1"/>
    <col min="40" max="40" width="20.28515625" customWidth="1"/>
    <col min="41" max="41" width="22.140625" customWidth="1"/>
    <col min="42" max="42" width="19" customWidth="1"/>
    <col min="43" max="44" width="10" customWidth="1"/>
    <col min="45" max="45" width="3.28515625" customWidth="1"/>
    <col min="46" max="46" width="6.7109375" bestFit="1" customWidth="1"/>
  </cols>
  <sheetData>
    <row r="2" spans="1:44" x14ac:dyDescent="0.25">
      <c r="A2" t="s">
        <v>1</v>
      </c>
      <c r="B2">
        <v>0.01</v>
      </c>
    </row>
    <row r="3" spans="1:44" x14ac:dyDescent="0.25">
      <c r="A3" t="s">
        <v>2</v>
      </c>
      <c r="B3" s="29">
        <f>0.5+N23</f>
        <v>0.63410267267565756</v>
      </c>
      <c r="C3" t="s">
        <v>37</v>
      </c>
    </row>
    <row r="4" spans="1:44" x14ac:dyDescent="0.25">
      <c r="A4" s="28" t="s">
        <v>3</v>
      </c>
      <c r="B4" s="28">
        <v>0.5</v>
      </c>
      <c r="C4" s="28" t="s">
        <v>37</v>
      </c>
      <c r="G4" t="s">
        <v>41</v>
      </c>
      <c r="H4">
        <v>158</v>
      </c>
    </row>
    <row r="5" spans="1:44" x14ac:dyDescent="0.25">
      <c r="A5" t="s">
        <v>26</v>
      </c>
      <c r="B5">
        <v>1.2</v>
      </c>
      <c r="C5" t="s">
        <v>37</v>
      </c>
      <c r="G5" t="s">
        <v>42</v>
      </c>
      <c r="H5">
        <f>10+4+2+1</f>
        <v>17</v>
      </c>
      <c r="AO5">
        <f>0.5/5</f>
        <v>0.1</v>
      </c>
    </row>
    <row r="6" spans="1:44" x14ac:dyDescent="0.25">
      <c r="A6" t="s">
        <v>27</v>
      </c>
      <c r="B6">
        <v>1</v>
      </c>
      <c r="G6" t="s">
        <v>43</v>
      </c>
      <c r="H6">
        <f>10+3*4+4*1</f>
        <v>26</v>
      </c>
      <c r="AL6" s="37">
        <v>0.5</v>
      </c>
    </row>
    <row r="7" spans="1:44" x14ac:dyDescent="0.25">
      <c r="A7" t="s">
        <v>50</v>
      </c>
      <c r="B7">
        <v>0.25</v>
      </c>
      <c r="C7" t="s">
        <v>37</v>
      </c>
      <c r="G7" t="s">
        <v>44</v>
      </c>
      <c r="H7">
        <f>1+30+3+(145)</f>
        <v>179</v>
      </c>
      <c r="AK7">
        <v>80</v>
      </c>
      <c r="AL7">
        <f>+AL6/100</f>
        <v>5.0000000000000001E-3</v>
      </c>
      <c r="AM7">
        <f>+AK7*AL7</f>
        <v>0.4</v>
      </c>
      <c r="AN7">
        <f>+AK7-AM7</f>
        <v>79.599999999999994</v>
      </c>
    </row>
    <row r="8" spans="1:44" x14ac:dyDescent="0.25">
      <c r="B8" s="236"/>
      <c r="C8" s="236"/>
      <c r="G8" t="s">
        <v>45</v>
      </c>
      <c r="H8">
        <f>1+10</f>
        <v>11</v>
      </c>
    </row>
    <row r="9" spans="1:44" x14ac:dyDescent="0.25">
      <c r="A9" s="184" t="s">
        <v>99</v>
      </c>
      <c r="B9" s="182"/>
      <c r="C9" s="183">
        <v>18000</v>
      </c>
    </row>
    <row r="10" spans="1:44" x14ac:dyDescent="0.25">
      <c r="A10" s="184" t="s">
        <v>100</v>
      </c>
      <c r="B10" s="74"/>
      <c r="C10" s="71">
        <v>697981</v>
      </c>
      <c r="G10" t="s">
        <v>46</v>
      </c>
      <c r="H10">
        <f>5+70+7+20</f>
        <v>102</v>
      </c>
      <c r="P10" s="36"/>
      <c r="Q10" s="37"/>
      <c r="R10" s="38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72"/>
      <c r="AK10" s="72"/>
      <c r="AL10" s="72"/>
    </row>
    <row r="11" spans="1:44" x14ac:dyDescent="0.25">
      <c r="G11" t="s">
        <v>47</v>
      </c>
      <c r="H11">
        <v>3</v>
      </c>
      <c r="AJ11" s="72"/>
      <c r="AK11" s="72"/>
      <c r="AL11" s="72"/>
    </row>
    <row r="12" spans="1:44" x14ac:dyDescent="0.25">
      <c r="A12" s="62" t="s">
        <v>78</v>
      </c>
      <c r="B12" s="75">
        <v>0.4</v>
      </c>
      <c r="G12" t="s">
        <v>48</v>
      </c>
      <c r="H12">
        <f>150+16+3+80</f>
        <v>249</v>
      </c>
      <c r="AJ12" s="72"/>
      <c r="AK12" s="72"/>
      <c r="AL12" s="72"/>
    </row>
    <row r="13" spans="1:44" x14ac:dyDescent="0.25">
      <c r="A13" s="62" t="s">
        <v>79</v>
      </c>
      <c r="B13" s="62">
        <v>0.85</v>
      </c>
      <c r="G13" t="s">
        <v>49</v>
      </c>
      <c r="H13">
        <f>40+4+1+20</f>
        <v>65</v>
      </c>
      <c r="AJ13" s="72"/>
      <c r="AK13" s="72"/>
      <c r="AL13" s="72"/>
    </row>
    <row r="14" spans="1:44" x14ac:dyDescent="0.25">
      <c r="A14" s="68" t="s">
        <v>54</v>
      </c>
      <c r="B14" s="62">
        <v>0.15</v>
      </c>
      <c r="AJ14" s="72"/>
      <c r="AK14" s="72"/>
      <c r="AL14" s="72"/>
    </row>
    <row r="15" spans="1:44" x14ac:dyDescent="0.25">
      <c r="A15" s="68" t="s">
        <v>3</v>
      </c>
      <c r="B15" s="62">
        <f>0.5/4</f>
        <v>0.125</v>
      </c>
    </row>
    <row r="16" spans="1:44" ht="20.25" x14ac:dyDescent="0.3">
      <c r="A16" s="238" t="s">
        <v>104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38"/>
      <c r="AA16" s="238"/>
      <c r="AB16" s="238"/>
      <c r="AC16" s="238"/>
      <c r="AD16" s="238"/>
      <c r="AE16" s="238"/>
      <c r="AF16" s="238"/>
      <c r="AG16" s="238"/>
      <c r="AH16" s="238"/>
      <c r="AI16" s="238"/>
      <c r="AJ16" s="238"/>
      <c r="AK16" s="238"/>
      <c r="AL16" s="238"/>
      <c r="AM16" s="238"/>
      <c r="AN16" s="238"/>
      <c r="AO16" s="238"/>
      <c r="AP16" s="238"/>
      <c r="AQ16" s="238"/>
      <c r="AR16" s="238"/>
    </row>
    <row r="17" spans="1:44" ht="15.75" thickBot="1" x14ac:dyDescent="0.3">
      <c r="A17" s="12"/>
      <c r="B17" s="2"/>
    </row>
    <row r="18" spans="1:44" ht="15.75" thickBot="1" x14ac:dyDescent="0.3">
      <c r="A18" s="87">
        <v>1</v>
      </c>
      <c r="B18" s="86">
        <v>2</v>
      </c>
      <c r="C18" s="86">
        <v>3</v>
      </c>
      <c r="D18" s="86">
        <v>4</v>
      </c>
      <c r="E18" s="86">
        <v>5</v>
      </c>
      <c r="F18" s="86">
        <v>6</v>
      </c>
      <c r="G18" s="86">
        <v>7</v>
      </c>
      <c r="H18" s="86">
        <v>8</v>
      </c>
      <c r="I18" s="86">
        <v>9</v>
      </c>
      <c r="J18" s="86">
        <v>10</v>
      </c>
      <c r="K18" s="86">
        <v>11</v>
      </c>
      <c r="L18" s="86">
        <v>12</v>
      </c>
      <c r="M18" s="86">
        <v>13</v>
      </c>
      <c r="N18" s="86">
        <v>14</v>
      </c>
      <c r="O18" s="86">
        <v>15</v>
      </c>
      <c r="P18" s="86">
        <v>16</v>
      </c>
      <c r="Q18" s="86">
        <v>17</v>
      </c>
      <c r="R18" s="86">
        <v>18</v>
      </c>
      <c r="S18" s="86">
        <v>19</v>
      </c>
      <c r="T18" s="86">
        <v>16</v>
      </c>
      <c r="U18" s="86">
        <v>17</v>
      </c>
      <c r="V18" s="86">
        <v>18</v>
      </c>
      <c r="W18" s="86">
        <v>19</v>
      </c>
      <c r="X18" s="86">
        <v>20</v>
      </c>
      <c r="Y18" s="86">
        <v>21</v>
      </c>
      <c r="Z18" s="86">
        <v>22</v>
      </c>
      <c r="AA18" s="86">
        <v>23</v>
      </c>
      <c r="AB18" s="86">
        <v>24</v>
      </c>
      <c r="AC18" s="86">
        <v>25</v>
      </c>
      <c r="AD18" s="86">
        <v>26</v>
      </c>
      <c r="AE18" s="86">
        <v>27</v>
      </c>
      <c r="AF18" s="86">
        <v>28</v>
      </c>
      <c r="AG18" s="86">
        <v>29</v>
      </c>
      <c r="AH18" s="86">
        <v>30</v>
      </c>
      <c r="AI18" s="86">
        <v>31</v>
      </c>
      <c r="AJ18" s="86">
        <v>32</v>
      </c>
      <c r="AK18" s="86">
        <v>33</v>
      </c>
      <c r="AL18" s="86">
        <v>34</v>
      </c>
      <c r="AM18" s="86">
        <v>35</v>
      </c>
      <c r="AN18" s="86">
        <v>36</v>
      </c>
      <c r="AO18" s="86">
        <v>37</v>
      </c>
      <c r="AP18" s="86">
        <v>38</v>
      </c>
      <c r="AQ18" s="86">
        <v>39</v>
      </c>
      <c r="AR18" s="88">
        <v>40</v>
      </c>
    </row>
    <row r="19" spans="1:44" ht="12.75" customHeight="1" x14ac:dyDescent="0.25">
      <c r="R19" t="s">
        <v>52</v>
      </c>
      <c r="S19" t="s">
        <v>58</v>
      </c>
      <c r="Z19" t="s">
        <v>61</v>
      </c>
    </row>
    <row r="20" spans="1:44" ht="17.25" customHeight="1" x14ac:dyDescent="0.25">
      <c r="A20" s="233" t="s">
        <v>4</v>
      </c>
      <c r="B20" s="234" t="s">
        <v>70</v>
      </c>
      <c r="C20" s="234" t="s">
        <v>71</v>
      </c>
      <c r="D20" s="234" t="s">
        <v>5</v>
      </c>
      <c r="E20" s="234" t="s">
        <v>6</v>
      </c>
      <c r="F20" s="233" t="s">
        <v>7</v>
      </c>
      <c r="G20" s="234" t="s">
        <v>8</v>
      </c>
      <c r="H20" s="233" t="s">
        <v>7</v>
      </c>
      <c r="I20" s="234" t="s">
        <v>9</v>
      </c>
      <c r="J20" s="233" t="s">
        <v>10</v>
      </c>
      <c r="K20" s="234" t="s">
        <v>34</v>
      </c>
      <c r="L20" s="233" t="s">
        <v>72</v>
      </c>
      <c r="M20" s="233" t="s">
        <v>72</v>
      </c>
      <c r="N20" s="233" t="s">
        <v>11</v>
      </c>
      <c r="O20" s="233" t="s">
        <v>11</v>
      </c>
      <c r="P20" s="235" t="s">
        <v>12</v>
      </c>
      <c r="Q20" s="235" t="s">
        <v>12</v>
      </c>
      <c r="R20" s="235" t="s">
        <v>76</v>
      </c>
      <c r="S20" s="235" t="s">
        <v>73</v>
      </c>
      <c r="T20" s="234" t="s">
        <v>12</v>
      </c>
      <c r="U20" s="234" t="s">
        <v>12</v>
      </c>
      <c r="V20" s="237" t="s">
        <v>76</v>
      </c>
      <c r="W20" s="234" t="s">
        <v>73</v>
      </c>
      <c r="X20" s="234" t="s">
        <v>75</v>
      </c>
      <c r="Y20" s="234" t="s">
        <v>74</v>
      </c>
      <c r="Z20" s="234" t="s">
        <v>53</v>
      </c>
      <c r="AA20" s="234" t="s">
        <v>54</v>
      </c>
      <c r="AB20" s="234" t="s">
        <v>65</v>
      </c>
      <c r="AC20" s="234" t="s">
        <v>65</v>
      </c>
      <c r="AD20" s="234" t="s">
        <v>65</v>
      </c>
      <c r="AE20" s="241" t="s">
        <v>69</v>
      </c>
      <c r="AF20" s="242"/>
      <c r="AG20" s="242"/>
      <c r="AH20" s="243"/>
      <c r="AI20" s="237" t="s">
        <v>38</v>
      </c>
      <c r="AJ20" s="233" t="s">
        <v>13</v>
      </c>
      <c r="AK20" s="233"/>
      <c r="AL20" s="233"/>
      <c r="AM20" s="73" t="s">
        <v>81</v>
      </c>
      <c r="AN20" s="63" t="s">
        <v>14</v>
      </c>
      <c r="AO20" s="73" t="s">
        <v>80</v>
      </c>
      <c r="AP20" s="73" t="s">
        <v>15</v>
      </c>
      <c r="AQ20" s="239" t="s">
        <v>28</v>
      </c>
      <c r="AR20" s="248"/>
    </row>
    <row r="21" spans="1:44" ht="15" customHeight="1" x14ac:dyDescent="0.25">
      <c r="A21" s="233"/>
      <c r="B21" s="234"/>
      <c r="C21" s="234"/>
      <c r="D21" s="234"/>
      <c r="E21" s="234"/>
      <c r="F21" s="233"/>
      <c r="G21" s="234"/>
      <c r="H21" s="233"/>
      <c r="I21" s="234"/>
      <c r="J21" s="233"/>
      <c r="K21" s="234"/>
      <c r="L21" s="233"/>
      <c r="M21" s="233"/>
      <c r="N21" s="233"/>
      <c r="O21" s="233"/>
      <c r="P21" s="235"/>
      <c r="Q21" s="235"/>
      <c r="R21" s="235" t="s">
        <v>55</v>
      </c>
      <c r="S21" s="235"/>
      <c r="T21" s="234"/>
      <c r="U21" s="234"/>
      <c r="V21" s="237" t="s">
        <v>55</v>
      </c>
      <c r="W21" s="234"/>
      <c r="X21" s="234" t="s">
        <v>56</v>
      </c>
      <c r="Y21" s="234"/>
      <c r="Z21" s="234" t="s">
        <v>56</v>
      </c>
      <c r="AA21" s="234" t="s">
        <v>57</v>
      </c>
      <c r="AB21" s="234"/>
      <c r="AC21" s="234"/>
      <c r="AD21" s="234"/>
      <c r="AE21" s="244"/>
      <c r="AF21" s="245"/>
      <c r="AG21" s="245"/>
      <c r="AH21" s="246"/>
      <c r="AI21" s="237"/>
      <c r="AJ21" s="73" t="s">
        <v>16</v>
      </c>
      <c r="AK21" s="76" t="s">
        <v>17</v>
      </c>
      <c r="AL21" s="76" t="s">
        <v>14</v>
      </c>
      <c r="AM21" s="73" t="s">
        <v>18</v>
      </c>
      <c r="AN21" s="73" t="s">
        <v>19</v>
      </c>
      <c r="AO21" s="73" t="s">
        <v>19</v>
      </c>
      <c r="AP21" s="73" t="s">
        <v>19</v>
      </c>
      <c r="AQ21" s="73" t="s">
        <v>20</v>
      </c>
      <c r="AR21" s="186" t="s">
        <v>20</v>
      </c>
    </row>
    <row r="22" spans="1:44" ht="29.25" customHeight="1" thickBot="1" x14ac:dyDescent="0.3">
      <c r="A22" s="233"/>
      <c r="B22" s="234"/>
      <c r="C22" s="234"/>
      <c r="D22" s="234"/>
      <c r="E22" s="13" t="s">
        <v>21</v>
      </c>
      <c r="F22" s="13" t="s">
        <v>29</v>
      </c>
      <c r="G22" s="13" t="s">
        <v>21</v>
      </c>
      <c r="H22" s="13" t="s">
        <v>29</v>
      </c>
      <c r="I22" s="13" t="s">
        <v>29</v>
      </c>
      <c r="J22" s="13" t="s">
        <v>30</v>
      </c>
      <c r="K22" s="13"/>
      <c r="L22" s="13" t="s">
        <v>35</v>
      </c>
      <c r="M22" s="13" t="s">
        <v>36</v>
      </c>
      <c r="N22" s="13" t="s">
        <v>29</v>
      </c>
      <c r="O22" s="13" t="s">
        <v>22</v>
      </c>
      <c r="P22" s="112" t="s">
        <v>22</v>
      </c>
      <c r="Q22" s="112" t="s">
        <v>29</v>
      </c>
      <c r="R22" s="112" t="s">
        <v>36</v>
      </c>
      <c r="S22" s="112"/>
      <c r="T22" s="13" t="s">
        <v>22</v>
      </c>
      <c r="U22" s="13" t="s">
        <v>29</v>
      </c>
      <c r="V22" s="13" t="s">
        <v>36</v>
      </c>
      <c r="W22" s="13"/>
      <c r="X22" s="13" t="s">
        <v>67</v>
      </c>
      <c r="Y22" s="13"/>
      <c r="Z22" s="13" t="s">
        <v>67</v>
      </c>
      <c r="AA22" s="13" t="s">
        <v>57</v>
      </c>
      <c r="AB22" s="13" t="s">
        <v>59</v>
      </c>
      <c r="AC22" s="13" t="s">
        <v>66</v>
      </c>
      <c r="AD22" s="13" t="s">
        <v>54</v>
      </c>
      <c r="AE22" s="13" t="s">
        <v>59</v>
      </c>
      <c r="AF22" s="13" t="s">
        <v>66</v>
      </c>
      <c r="AG22" s="13" t="s">
        <v>54</v>
      </c>
      <c r="AH22" s="13" t="s">
        <v>68</v>
      </c>
      <c r="AI22" s="13" t="s">
        <v>29</v>
      </c>
      <c r="AJ22" s="13" t="s">
        <v>23</v>
      </c>
      <c r="AK22" s="13" t="s">
        <v>23</v>
      </c>
      <c r="AL22" s="13" t="s">
        <v>23</v>
      </c>
      <c r="AM22" s="13" t="s">
        <v>23</v>
      </c>
      <c r="AN22" s="13" t="s">
        <v>23</v>
      </c>
      <c r="AO22" s="13" t="s">
        <v>23</v>
      </c>
      <c r="AP22" s="188"/>
      <c r="AQ22" s="13" t="s">
        <v>24</v>
      </c>
      <c r="AR22" s="187" t="s">
        <v>25</v>
      </c>
    </row>
    <row r="23" spans="1:44" x14ac:dyDescent="0.25">
      <c r="A23" s="229">
        <v>1</v>
      </c>
      <c r="B23" s="229">
        <v>1</v>
      </c>
      <c r="C23" s="229">
        <v>2</v>
      </c>
      <c r="D23" s="229">
        <v>49.3</v>
      </c>
      <c r="E23" s="127">
        <v>1</v>
      </c>
      <c r="F23" s="132">
        <f>+'LOGIKA AN-1'!F23</f>
        <v>48.099999999999994</v>
      </c>
      <c r="G23" s="127">
        <v>1</v>
      </c>
      <c r="H23" s="136">
        <f>+H33+2*$B$15</f>
        <v>48</v>
      </c>
      <c r="I23" s="129">
        <v>80</v>
      </c>
      <c r="J23" s="130">
        <f>+(F23-H23)/I23</f>
        <v>1.2499999999999289E-3</v>
      </c>
      <c r="K23" s="138">
        <f>+H4</f>
        <v>158</v>
      </c>
      <c r="L23" s="132">
        <f>IF(K23&lt;38,K23^0.3686*0.7401,IF(K23&lt;235,K23^0.4193*0.6215,IF(K23&lt;932,K23*0.0092+4.2493,K23*0.0069+6.7345)))</f>
        <v>5.1920402377148429</v>
      </c>
      <c r="M23" s="133">
        <f>+L23/1000</f>
        <v>5.1920402377148428E-3</v>
      </c>
      <c r="N23" s="133">
        <f t="shared" ref="N23:N86" si="0">+IF(J23&gt;0,((M23*$B$2*(4^(5/3))/((J23^0.5)*PI()*$B$6))^(3/8)),0)</f>
        <v>0.13410267267565754</v>
      </c>
      <c r="O23" s="133">
        <f t="shared" ref="O23:O86" si="1">+N23*(100/2.54)</f>
        <v>5.2796327825062024</v>
      </c>
      <c r="P23" s="134">
        <f>IF(O23&lt;0.1,0,IF(O23&lt;4,6,EVEN(O23)))</f>
        <v>6</v>
      </c>
      <c r="Q23" s="135">
        <f>IF(O23&gt;0,VLOOKUP(P23,'$ alcantarillado'!$I$5:$L$22,4,FALSE),"0")</f>
        <v>0.14499999999999999</v>
      </c>
      <c r="R23" s="135">
        <f t="shared" ref="R23:R86" si="2">IF(P23&gt;0,PI()*((Q23)^(8/3))*((J23)^0.5)/($B$2*4^(5/3)),"")</f>
        <v>6.3946910389487679E-3</v>
      </c>
      <c r="S23" s="136">
        <f t="shared" ref="S23:S86" si="3">IF(P23&gt;0,+M23/R23,0)</f>
        <v>0.81192980334642872</v>
      </c>
      <c r="T23" s="134">
        <f>+IF(S23&gt;$B$13,VLOOKUP(P23,'$ alcantarillado'!$I$6:$N$22,5),P23)</f>
        <v>6</v>
      </c>
      <c r="U23" s="135">
        <f>IF(O23&gt;0,VLOOKUP(T23,'$ alcantarillado'!$I$5:$L$22,4),"0")</f>
        <v>0.14499999999999999</v>
      </c>
      <c r="V23" s="135">
        <f t="shared" ref="V23:V86" si="4">IF(T23&gt;0,PI()*((U23)^(8/3))*((J23)^0.5)/($B$2*4^(5/3)),"")</f>
        <v>6.3946910389487679E-3</v>
      </c>
      <c r="W23" s="136">
        <f t="shared" ref="W23:W54" si="5">IF(T23&gt;0,M23/V23,0)</f>
        <v>0.81192980334642872</v>
      </c>
      <c r="X23" s="136">
        <f>IF(T23&gt;0,4*V23/(PI()*(U23)^2),"")</f>
        <v>0.38725200985270652</v>
      </c>
      <c r="Y23" s="135">
        <f>IF(T23&gt;0,(VLOOKUP($W23,Relaciones!$A$4:$D$108,2)),"")</f>
        <v>0.98699999999999999</v>
      </c>
      <c r="Z23" s="136">
        <f>IF(T23&gt;0,Y23*X23,"")</f>
        <v>0.38221773372462131</v>
      </c>
      <c r="AA23" s="136">
        <f>IF(T23&gt;0,250*U23*J23,"")</f>
        <v>4.5312499999997424E-2</v>
      </c>
      <c r="AB23" s="137" t="str">
        <f>IF(T23&gt;0,IF(W23&lt;=$B$13,"OK","No Cumple"),"")</f>
        <v>OK</v>
      </c>
      <c r="AC23" s="137" t="str">
        <f>IF(T23&gt;0,IF(Z23&gt;=$B$12,"OK","No Cumple"),"")</f>
        <v>No Cumple</v>
      </c>
      <c r="AD23" s="137" t="str">
        <f>IF(T23&gt;0,IF(AA23&gt;$B$14,"OK","No Cumple"),"")</f>
        <v>No Cumple</v>
      </c>
      <c r="AE23" s="138">
        <f>+IF(AB23="OK",1,0)</f>
        <v>1</v>
      </c>
      <c r="AF23" s="138">
        <f>+IF(AC23="OK",1,0)</f>
        <v>0</v>
      </c>
      <c r="AG23" s="138">
        <f>+IF(AD23="OK",1,0)</f>
        <v>0</v>
      </c>
      <c r="AH23" s="138">
        <f>SUM(AE23:AG23)</f>
        <v>1</v>
      </c>
      <c r="AI23" s="137">
        <f>IF(AH23=3,2*$B$7+U23,0)</f>
        <v>0</v>
      </c>
      <c r="AJ23" s="139">
        <f>IF(AI23&gt;0,I23*VLOOKUP(T23,'$ alcantarillado'!$I$6:$K$22,3),0)</f>
        <v>0</v>
      </c>
      <c r="AK23" s="139">
        <f t="shared" ref="AK23:AK47" si="6">IF(N23&gt;0,((($D$23-F23)+(U23))+(($D$48-H23)+(U23))/2)*AI23*I23*$C$9,0)</f>
        <v>0</v>
      </c>
      <c r="AL23" s="139">
        <f t="shared" ref="AL23:AL47" si="7">IF(AI23&gt;0,(($D$23-F23)+U23)*$C$10,0)</f>
        <v>0</v>
      </c>
      <c r="AM23" s="139">
        <f>IF(AJ23&gt;0,AJ23+AK23+AL23,0)</f>
        <v>0</v>
      </c>
      <c r="AN23" s="129">
        <v>0</v>
      </c>
      <c r="AO23" s="140" t="str">
        <f t="shared" ref="AO23:AO47" si="8">IF((AM23+AN23)&gt;0,(AM23+AN23),"")</f>
        <v/>
      </c>
      <c r="AP23" s="232">
        <f>+MIN(AO23:AO27)</f>
        <v>0</v>
      </c>
      <c r="AQ23" s="129"/>
      <c r="AR23" s="163"/>
    </row>
    <row r="24" spans="1:44" x14ac:dyDescent="0.25">
      <c r="A24" s="230"/>
      <c r="B24" s="230"/>
      <c r="C24" s="230"/>
      <c r="D24" s="230"/>
      <c r="E24" s="141">
        <v>2</v>
      </c>
      <c r="F24" s="128">
        <f>+F23-$B$15</f>
        <v>47.974999999999994</v>
      </c>
      <c r="G24" s="141">
        <v>1</v>
      </c>
      <c r="H24" s="146">
        <f>+H23</f>
        <v>48</v>
      </c>
      <c r="I24" s="142">
        <f>+I23</f>
        <v>80</v>
      </c>
      <c r="J24" s="143">
        <f t="shared" ref="J24:J87" si="9">+(F24-H24)/I24</f>
        <v>-3.1250000000007108E-4</v>
      </c>
      <c r="K24" s="142">
        <f>+K23</f>
        <v>158</v>
      </c>
      <c r="L24" s="128">
        <f t="shared" ref="L24:L87" si="10">IF(K24&lt;38,K24^0.3686*0.7401,IF(K24&lt;235,K24^0.4193*0.6215,IF(K24&lt;932,K24*0.0092+4.2493,K24*0.0069+6.7345)))</f>
        <v>5.1920402377148429</v>
      </c>
      <c r="M24" s="144">
        <f t="shared" ref="M24:M47" si="11">+L24/1000</f>
        <v>5.1920402377148428E-3</v>
      </c>
      <c r="N24" s="144">
        <f t="shared" si="0"/>
        <v>0</v>
      </c>
      <c r="O24" s="144">
        <f t="shared" si="1"/>
        <v>0</v>
      </c>
      <c r="P24" s="145">
        <f t="shared" ref="P24:P87" si="12">IF(O24&lt;0.1,0,IF(O24&lt;4,6,EVEN(O24)))</f>
        <v>0</v>
      </c>
      <c r="Q24" s="113" t="str">
        <f>IF(O24&gt;0,VLOOKUP(P24,'$ alcantarillado'!$I$5:$L$22,4,FALSE),"0")</f>
        <v>0</v>
      </c>
      <c r="R24" s="113" t="str">
        <f t="shared" si="2"/>
        <v/>
      </c>
      <c r="S24" s="146">
        <f t="shared" si="3"/>
        <v>0</v>
      </c>
      <c r="T24" s="145">
        <f>+IF(S24&gt;$B$13,VLOOKUP(P24,'$ alcantarillado'!$I$6:$N$22,5),P24)</f>
        <v>0</v>
      </c>
      <c r="U24" s="113" t="str">
        <f>IF(O24&gt;0,VLOOKUP(T24,'$ alcantarillado'!$I$5:$L$22,4),"0")</f>
        <v>0</v>
      </c>
      <c r="V24" s="113" t="str">
        <f t="shared" si="4"/>
        <v/>
      </c>
      <c r="W24" s="146">
        <f t="shared" si="5"/>
        <v>0</v>
      </c>
      <c r="X24" s="146" t="str">
        <f t="shared" ref="X24:X27" si="13">IF(T24&gt;0,4*V24/(PI()*(U24)^2),"")</f>
        <v/>
      </c>
      <c r="Y24" s="113" t="str">
        <f>IF(T24&gt;0,(VLOOKUP($W24,Relaciones!$A$4:$D$108,2)),"")</f>
        <v/>
      </c>
      <c r="Z24" s="146" t="str">
        <f t="shared" ref="Z24:Z27" si="14">IF(T24&gt;0,Y24*X24,"")</f>
        <v/>
      </c>
      <c r="AA24" s="146" t="str">
        <f t="shared" ref="AA24:AA27" si="15">IF(T24&gt;0,250*U24*J24,"")</f>
        <v/>
      </c>
      <c r="AB24" s="147" t="str">
        <f t="shared" ref="AB24:AB27" si="16">IF(T24&gt;0,IF(W24&lt;=$B$13,"OK","No Cumple"),"")</f>
        <v/>
      </c>
      <c r="AC24" s="147" t="str">
        <f t="shared" ref="AC24:AC27" si="17">IF(T24&gt;0,IF(Z24&gt;=$B$12,"OK","No Cumple"),"")</f>
        <v/>
      </c>
      <c r="AD24" s="147" t="str">
        <f t="shared" ref="AD24:AD27" si="18">IF(T24&gt;0,IF(AA24&gt;$B$14,"OK","No Cumple"),"")</f>
        <v/>
      </c>
      <c r="AE24" s="148">
        <f t="shared" ref="AE24:AG27" si="19">+IF(AB24="OK",1,0)</f>
        <v>0</v>
      </c>
      <c r="AF24" s="148">
        <f t="shared" si="19"/>
        <v>0</v>
      </c>
      <c r="AG24" s="148">
        <f t="shared" si="19"/>
        <v>0</v>
      </c>
      <c r="AH24" s="148">
        <f t="shared" ref="AH24:AH27" si="20">SUM(AE24:AG24)</f>
        <v>0</v>
      </c>
      <c r="AI24" s="147">
        <f t="shared" ref="AI24:AI27" si="21">IF(AH24=3,2*$B$7+U24,0)</f>
        <v>0</v>
      </c>
      <c r="AJ24" s="149">
        <f>IF(AI24&gt;0,I24*VLOOKUP(T24,'$ alcantarillado'!$I$6:$K$22,3),0)</f>
        <v>0</v>
      </c>
      <c r="AK24" s="149">
        <f t="shared" si="6"/>
        <v>0</v>
      </c>
      <c r="AL24" s="149">
        <f t="shared" si="7"/>
        <v>0</v>
      </c>
      <c r="AM24" s="149">
        <f t="shared" ref="AM24:AM87" si="22">IF(AJ24&gt;0,AJ24+AK24+AL24,0)</f>
        <v>0</v>
      </c>
      <c r="AN24" s="142">
        <v>0</v>
      </c>
      <c r="AO24" s="150" t="str">
        <f t="shared" si="8"/>
        <v/>
      </c>
      <c r="AP24" s="218"/>
      <c r="AQ24" s="142"/>
      <c r="AR24" s="165"/>
    </row>
    <row r="25" spans="1:44" x14ac:dyDescent="0.25">
      <c r="A25" s="230"/>
      <c r="B25" s="230"/>
      <c r="C25" s="230"/>
      <c r="D25" s="230"/>
      <c r="E25" s="151">
        <v>3</v>
      </c>
      <c r="F25" s="128">
        <f>+F24-$B$15</f>
        <v>47.849999999999994</v>
      </c>
      <c r="G25" s="151">
        <v>1</v>
      </c>
      <c r="H25" s="142">
        <f t="shared" ref="H25:K26" si="23">+H24</f>
        <v>48</v>
      </c>
      <c r="I25" s="142">
        <f t="shared" si="23"/>
        <v>80</v>
      </c>
      <c r="J25" s="143">
        <f t="shared" si="9"/>
        <v>-1.8750000000000711E-3</v>
      </c>
      <c r="K25" s="142">
        <f t="shared" si="23"/>
        <v>158</v>
      </c>
      <c r="L25" s="128">
        <f t="shared" si="10"/>
        <v>5.1920402377148429</v>
      </c>
      <c r="M25" s="144">
        <f t="shared" si="11"/>
        <v>5.1920402377148428E-3</v>
      </c>
      <c r="N25" s="144">
        <f t="shared" si="0"/>
        <v>0</v>
      </c>
      <c r="O25" s="144">
        <f t="shared" si="1"/>
        <v>0</v>
      </c>
      <c r="P25" s="145">
        <f t="shared" si="12"/>
        <v>0</v>
      </c>
      <c r="Q25" s="113" t="str">
        <f>IF(O25&gt;0,VLOOKUP(P25,'$ alcantarillado'!$I$5:$L$22,4,FALSE),"0")</f>
        <v>0</v>
      </c>
      <c r="R25" s="113" t="str">
        <f t="shared" si="2"/>
        <v/>
      </c>
      <c r="S25" s="146">
        <f t="shared" si="3"/>
        <v>0</v>
      </c>
      <c r="T25" s="145">
        <f>+IF(S25&gt;$B$13,VLOOKUP(P25,'$ alcantarillado'!$I$6:$N$22,5),P25)</f>
        <v>0</v>
      </c>
      <c r="U25" s="113" t="str">
        <f>IF(O25&gt;0,VLOOKUP(T25,'$ alcantarillado'!$I$5:$L$22,4),"0")</f>
        <v>0</v>
      </c>
      <c r="V25" s="113" t="str">
        <f t="shared" si="4"/>
        <v/>
      </c>
      <c r="W25" s="146">
        <f t="shared" si="5"/>
        <v>0</v>
      </c>
      <c r="X25" s="146" t="str">
        <f t="shared" si="13"/>
        <v/>
      </c>
      <c r="Y25" s="113" t="str">
        <f>IF(T25&gt;0,(VLOOKUP($W25,Relaciones!$A$4:$D$108,2)),"")</f>
        <v/>
      </c>
      <c r="Z25" s="146" t="str">
        <f t="shared" si="14"/>
        <v/>
      </c>
      <c r="AA25" s="146" t="str">
        <f t="shared" si="15"/>
        <v/>
      </c>
      <c r="AB25" s="147" t="str">
        <f t="shared" si="16"/>
        <v/>
      </c>
      <c r="AC25" s="147" t="str">
        <f t="shared" si="17"/>
        <v/>
      </c>
      <c r="AD25" s="147" t="str">
        <f t="shared" si="18"/>
        <v/>
      </c>
      <c r="AE25" s="148">
        <f t="shared" si="19"/>
        <v>0</v>
      </c>
      <c r="AF25" s="148">
        <f t="shared" si="19"/>
        <v>0</v>
      </c>
      <c r="AG25" s="148">
        <f t="shared" si="19"/>
        <v>0</v>
      </c>
      <c r="AH25" s="148">
        <f t="shared" si="20"/>
        <v>0</v>
      </c>
      <c r="AI25" s="147">
        <f t="shared" si="21"/>
        <v>0</v>
      </c>
      <c r="AJ25" s="149">
        <f>IF(AI25&gt;0,I25*VLOOKUP(T25,'$ alcantarillado'!$I$6:$K$22,3),0)</f>
        <v>0</v>
      </c>
      <c r="AK25" s="149">
        <f t="shared" si="6"/>
        <v>0</v>
      </c>
      <c r="AL25" s="149">
        <f t="shared" si="7"/>
        <v>0</v>
      </c>
      <c r="AM25" s="149">
        <f t="shared" si="22"/>
        <v>0</v>
      </c>
      <c r="AN25" s="142">
        <v>0</v>
      </c>
      <c r="AO25" s="150" t="str">
        <f t="shared" si="8"/>
        <v/>
      </c>
      <c r="AP25" s="219"/>
      <c r="AQ25" s="142"/>
      <c r="AR25" s="165"/>
    </row>
    <row r="26" spans="1:44" x14ac:dyDescent="0.25">
      <c r="A26" s="230"/>
      <c r="B26" s="230"/>
      <c r="C26" s="230"/>
      <c r="D26" s="230"/>
      <c r="E26" s="151">
        <v>4</v>
      </c>
      <c r="F26" s="128">
        <f>+F25-$B$15</f>
        <v>47.724999999999994</v>
      </c>
      <c r="G26" s="151">
        <v>1</v>
      </c>
      <c r="H26" s="142">
        <f t="shared" si="23"/>
        <v>48</v>
      </c>
      <c r="I26" s="142">
        <f t="shared" si="23"/>
        <v>80</v>
      </c>
      <c r="J26" s="143">
        <f>+(F26-H26)/I26</f>
        <v>-3.4375000000000711E-3</v>
      </c>
      <c r="K26" s="142">
        <f t="shared" si="23"/>
        <v>158</v>
      </c>
      <c r="L26" s="128">
        <f t="shared" si="10"/>
        <v>5.1920402377148429</v>
      </c>
      <c r="M26" s="144">
        <f t="shared" si="11"/>
        <v>5.1920402377148428E-3</v>
      </c>
      <c r="N26" s="144">
        <f t="shared" si="0"/>
        <v>0</v>
      </c>
      <c r="O26" s="144">
        <f t="shared" si="1"/>
        <v>0</v>
      </c>
      <c r="P26" s="145">
        <f t="shared" si="12"/>
        <v>0</v>
      </c>
      <c r="Q26" s="113" t="str">
        <f>IF(O26&gt;0,VLOOKUP(P26,'$ alcantarillado'!$I$5:$L$22,4,FALSE),"0")</f>
        <v>0</v>
      </c>
      <c r="R26" s="113" t="str">
        <f t="shared" si="2"/>
        <v/>
      </c>
      <c r="S26" s="146">
        <f t="shared" si="3"/>
        <v>0</v>
      </c>
      <c r="T26" s="145">
        <f>+IF(S26&gt;$B$13,VLOOKUP(P26,'$ alcantarillado'!$I$6:$N$22,5),P26)</f>
        <v>0</v>
      </c>
      <c r="U26" s="113" t="str">
        <f>IF(O26&gt;0,VLOOKUP(T26,'$ alcantarillado'!$I$5:$L$22,4),"0")</f>
        <v>0</v>
      </c>
      <c r="V26" s="113" t="str">
        <f t="shared" si="4"/>
        <v/>
      </c>
      <c r="W26" s="146">
        <f t="shared" si="5"/>
        <v>0</v>
      </c>
      <c r="X26" s="146" t="str">
        <f t="shared" si="13"/>
        <v/>
      </c>
      <c r="Y26" s="113" t="str">
        <f>IF(T26&gt;0,(VLOOKUP($W26,Relaciones!$A$4:$D$108,2)),"")</f>
        <v/>
      </c>
      <c r="Z26" s="146" t="str">
        <f t="shared" si="14"/>
        <v/>
      </c>
      <c r="AA26" s="146" t="str">
        <f t="shared" si="15"/>
        <v/>
      </c>
      <c r="AB26" s="147" t="str">
        <f t="shared" si="16"/>
        <v/>
      </c>
      <c r="AC26" s="147" t="str">
        <f t="shared" si="17"/>
        <v/>
      </c>
      <c r="AD26" s="147" t="str">
        <f t="shared" si="18"/>
        <v/>
      </c>
      <c r="AE26" s="148">
        <f t="shared" si="19"/>
        <v>0</v>
      </c>
      <c r="AF26" s="148">
        <f t="shared" si="19"/>
        <v>0</v>
      </c>
      <c r="AG26" s="148">
        <f t="shared" si="19"/>
        <v>0</v>
      </c>
      <c r="AH26" s="148">
        <f t="shared" si="20"/>
        <v>0</v>
      </c>
      <c r="AI26" s="147">
        <f t="shared" si="21"/>
        <v>0</v>
      </c>
      <c r="AJ26" s="149">
        <f>IF(AI26&gt;0,I26*VLOOKUP(T26,'$ alcantarillado'!$I$6:$K$22,3),0)</f>
        <v>0</v>
      </c>
      <c r="AK26" s="149">
        <f t="shared" si="6"/>
        <v>0</v>
      </c>
      <c r="AL26" s="149">
        <f t="shared" si="7"/>
        <v>0</v>
      </c>
      <c r="AM26" s="149">
        <f t="shared" si="22"/>
        <v>0</v>
      </c>
      <c r="AN26" s="142">
        <v>0</v>
      </c>
      <c r="AO26" s="150" t="str">
        <f t="shared" si="8"/>
        <v/>
      </c>
      <c r="AP26" s="219"/>
      <c r="AQ26" s="142"/>
      <c r="AR26" s="165"/>
    </row>
    <row r="27" spans="1:44" ht="15.75" thickBot="1" x14ac:dyDescent="0.3">
      <c r="A27" s="230"/>
      <c r="B27" s="230"/>
      <c r="C27" s="230"/>
      <c r="D27" s="230"/>
      <c r="E27" s="152">
        <v>5</v>
      </c>
      <c r="F27" s="153">
        <f>+F26-$B$15</f>
        <v>47.599999999999994</v>
      </c>
      <c r="G27" s="152">
        <v>1</v>
      </c>
      <c r="H27" s="154">
        <f>+H26</f>
        <v>48</v>
      </c>
      <c r="I27" s="154">
        <f>+I26</f>
        <v>80</v>
      </c>
      <c r="J27" s="155">
        <f t="shared" si="9"/>
        <v>-5.0000000000000712E-3</v>
      </c>
      <c r="K27" s="154">
        <f>+K26</f>
        <v>158</v>
      </c>
      <c r="L27" s="153">
        <f t="shared" si="10"/>
        <v>5.1920402377148429</v>
      </c>
      <c r="M27" s="156">
        <f t="shared" si="11"/>
        <v>5.1920402377148428E-3</v>
      </c>
      <c r="N27" s="156">
        <f t="shared" si="0"/>
        <v>0</v>
      </c>
      <c r="O27" s="156">
        <f t="shared" si="1"/>
        <v>0</v>
      </c>
      <c r="P27" s="157">
        <f t="shared" si="12"/>
        <v>0</v>
      </c>
      <c r="Q27" s="113" t="str">
        <f>IF(O27&gt;0,VLOOKUP(P27,'$ alcantarillado'!$I$5:$L$22,4,FALSE),"0")</f>
        <v>0</v>
      </c>
      <c r="R27" s="113" t="str">
        <f t="shared" si="2"/>
        <v/>
      </c>
      <c r="S27" s="146">
        <f t="shared" si="3"/>
        <v>0</v>
      </c>
      <c r="T27" s="145">
        <f>+IF(S27&gt;$B$13,VLOOKUP(P27,'$ alcantarillado'!$I$6:$N$22,5),P27)</f>
        <v>0</v>
      </c>
      <c r="U27" s="113" t="str">
        <f>IF(O27&gt;0,VLOOKUP(T27,'$ alcantarillado'!$I$5:$L$22,4),"0")</f>
        <v>0</v>
      </c>
      <c r="V27" s="113" t="str">
        <f t="shared" si="4"/>
        <v/>
      </c>
      <c r="W27" s="146">
        <f t="shared" si="5"/>
        <v>0</v>
      </c>
      <c r="X27" s="146" t="str">
        <f t="shared" si="13"/>
        <v/>
      </c>
      <c r="Y27" s="113" t="str">
        <f>IF(T27&gt;0,(VLOOKUP($W27,Relaciones!$A$4:$D$108,2)),"")</f>
        <v/>
      </c>
      <c r="Z27" s="146" t="str">
        <f t="shared" si="14"/>
        <v/>
      </c>
      <c r="AA27" s="146" t="str">
        <f t="shared" si="15"/>
        <v/>
      </c>
      <c r="AB27" s="147" t="str">
        <f t="shared" si="16"/>
        <v/>
      </c>
      <c r="AC27" s="147" t="str">
        <f t="shared" si="17"/>
        <v/>
      </c>
      <c r="AD27" s="147" t="str">
        <f t="shared" si="18"/>
        <v/>
      </c>
      <c r="AE27" s="148">
        <f t="shared" si="19"/>
        <v>0</v>
      </c>
      <c r="AF27" s="148">
        <f t="shared" si="19"/>
        <v>0</v>
      </c>
      <c r="AG27" s="148">
        <f t="shared" si="19"/>
        <v>0</v>
      </c>
      <c r="AH27" s="148">
        <f t="shared" si="20"/>
        <v>0</v>
      </c>
      <c r="AI27" s="147">
        <f t="shared" si="21"/>
        <v>0</v>
      </c>
      <c r="AJ27" s="158">
        <f>IF(AI27&gt;0,I27*VLOOKUP(T27,'$ alcantarillado'!$I$6:$K$22,3),0)</f>
        <v>0</v>
      </c>
      <c r="AK27" s="158">
        <f t="shared" si="6"/>
        <v>0</v>
      </c>
      <c r="AL27" s="158">
        <f t="shared" si="7"/>
        <v>0</v>
      </c>
      <c r="AM27" s="158">
        <f t="shared" si="22"/>
        <v>0</v>
      </c>
      <c r="AN27" s="154">
        <v>0</v>
      </c>
      <c r="AO27" s="159" t="str">
        <f t="shared" si="8"/>
        <v/>
      </c>
      <c r="AP27" s="220"/>
      <c r="AQ27" s="154"/>
      <c r="AR27" s="166"/>
    </row>
    <row r="28" spans="1:44" x14ac:dyDescent="0.25">
      <c r="A28" s="230"/>
      <c r="B28" s="230"/>
      <c r="C28" s="230"/>
      <c r="D28" s="230"/>
      <c r="E28" s="127">
        <v>1</v>
      </c>
      <c r="F28" s="132">
        <f t="shared" ref="F28:F47" si="24">+F23</f>
        <v>48.099999999999994</v>
      </c>
      <c r="G28" s="127">
        <v>2</v>
      </c>
      <c r="H28" s="146">
        <f>+H33+$B$15</f>
        <v>47.875</v>
      </c>
      <c r="I28" s="142">
        <f>+I27</f>
        <v>80</v>
      </c>
      <c r="J28" s="143">
        <f>+(F28-H28)/I28</f>
        <v>2.8124999999999288E-3</v>
      </c>
      <c r="K28" s="142">
        <f>+K27</f>
        <v>158</v>
      </c>
      <c r="L28" s="132">
        <f>IF(K28&lt;38,K28^0.3686*0.7401,IF(K28&lt;235,K28^0.4193*0.6215,IF(K28&lt;932,K28*0.0092+4.2493,K28*0.0069+6.7345)))</f>
        <v>5.1920402377148429</v>
      </c>
      <c r="M28" s="133">
        <f>+L28/1000</f>
        <v>5.1920402377148428E-3</v>
      </c>
      <c r="N28" s="133">
        <f t="shared" si="0"/>
        <v>0.11518693207929813</v>
      </c>
      <c r="O28" s="133">
        <f t="shared" si="1"/>
        <v>4.5349185857991392</v>
      </c>
      <c r="P28" s="134">
        <f t="shared" si="12"/>
        <v>6</v>
      </c>
      <c r="Q28" s="135">
        <f>IF(O28&gt;0,VLOOKUP(P28,'$ alcantarillado'!$I$5:$L$22,4,FALSE),"0")</f>
        <v>0.14499999999999999</v>
      </c>
      <c r="R28" s="135">
        <f t="shared" si="2"/>
        <v>9.5920365584233041E-3</v>
      </c>
      <c r="S28" s="136">
        <f t="shared" si="3"/>
        <v>0.54128653556427719</v>
      </c>
      <c r="T28" s="134">
        <f>+IF(S28&gt;$B$13,VLOOKUP(P28,'$ alcantarillado'!$I$6:$N$22,5),P28)</f>
        <v>6</v>
      </c>
      <c r="U28" s="135">
        <f>IF(O28&gt;0,VLOOKUP(T28,'$ alcantarillado'!$I$5:$L$22,4),"0")</f>
        <v>0.14499999999999999</v>
      </c>
      <c r="V28" s="135">
        <f t="shared" si="4"/>
        <v>9.5920365584233041E-3</v>
      </c>
      <c r="W28" s="136">
        <f t="shared" si="5"/>
        <v>0.54128653556427719</v>
      </c>
      <c r="X28" s="136">
        <f>IF(T28&gt;0,4*V28/(PI()*(U28)^2),"")</f>
        <v>0.58087801477906897</v>
      </c>
      <c r="Y28" s="135">
        <f>IF(T28&gt;0,(VLOOKUP($W28,Relaciones!$A$4:$D$108,2)),"")</f>
        <v>0.87</v>
      </c>
      <c r="Z28" s="136">
        <f>IF(T28&gt;0,Y28*X28,"")</f>
        <v>0.50536387285779005</v>
      </c>
      <c r="AA28" s="136">
        <f>IF(T28&gt;0,250*U28*J28,"")</f>
        <v>0.10195312499999742</v>
      </c>
      <c r="AB28" s="137" t="str">
        <f>IF(T28&gt;0,IF(W28&lt;=$B$13,"OK","No Cumple"),"")</f>
        <v>OK</v>
      </c>
      <c r="AC28" s="137" t="str">
        <f>IF(T28&gt;0,IF(Z28&gt;=$B$12,"OK","No Cumple"),"")</f>
        <v>OK</v>
      </c>
      <c r="AD28" s="137" t="str">
        <f>IF(T28&gt;0,IF(AA28&gt;$B$14,"OK","No Cumple"),"")</f>
        <v>No Cumple</v>
      </c>
      <c r="AE28" s="138">
        <f>+IF(AB28="OK",1,0)</f>
        <v>1</v>
      </c>
      <c r="AF28" s="138">
        <f>+IF(AC28="OK",1,0)</f>
        <v>1</v>
      </c>
      <c r="AG28" s="138">
        <f>+IF(AD28="OK",1,0)</f>
        <v>0</v>
      </c>
      <c r="AH28" s="138">
        <f>SUM(AE28:AG28)</f>
        <v>2</v>
      </c>
      <c r="AI28" s="137">
        <f>IF(AH28=3,2*$B$7+U28,0)</f>
        <v>0</v>
      </c>
      <c r="AJ28" s="139">
        <f>IF(AI28&gt;0,I28*VLOOKUP(T28,'$ alcantarillado'!$I$6:$K$22,3),0)</f>
        <v>0</v>
      </c>
      <c r="AK28" s="139">
        <f t="shared" si="6"/>
        <v>0</v>
      </c>
      <c r="AL28" s="139">
        <f t="shared" si="7"/>
        <v>0</v>
      </c>
      <c r="AM28" s="139">
        <f>IF(AJ28&gt;0,AJ28+AK28+AL28,0)</f>
        <v>0</v>
      </c>
      <c r="AN28" s="129">
        <v>0</v>
      </c>
      <c r="AO28" s="140" t="str">
        <f t="shared" si="8"/>
        <v/>
      </c>
      <c r="AP28" s="232">
        <f>+MIN(AO28:AO32)</f>
        <v>0</v>
      </c>
      <c r="AQ28" s="142"/>
      <c r="AR28" s="165"/>
    </row>
    <row r="29" spans="1:44" x14ac:dyDescent="0.25">
      <c r="A29" s="230"/>
      <c r="B29" s="230"/>
      <c r="C29" s="230"/>
      <c r="D29" s="230"/>
      <c r="E29" s="141">
        <v>2</v>
      </c>
      <c r="F29" s="128">
        <f t="shared" si="24"/>
        <v>47.974999999999994</v>
      </c>
      <c r="G29" s="141">
        <v>2</v>
      </c>
      <c r="H29" s="146">
        <f>+H28</f>
        <v>47.875</v>
      </c>
      <c r="I29" s="142">
        <f>+I28</f>
        <v>80</v>
      </c>
      <c r="J29" s="143">
        <f t="shared" si="9"/>
        <v>1.2499999999999289E-3</v>
      </c>
      <c r="K29" s="142">
        <f>+K28</f>
        <v>158</v>
      </c>
      <c r="L29" s="128">
        <f t="shared" si="10"/>
        <v>5.1920402377148429</v>
      </c>
      <c r="M29" s="144">
        <f t="shared" si="11"/>
        <v>5.1920402377148428E-3</v>
      </c>
      <c r="N29" s="144">
        <f t="shared" si="0"/>
        <v>0.13410267267565754</v>
      </c>
      <c r="O29" s="144">
        <f t="shared" si="1"/>
        <v>5.2796327825062024</v>
      </c>
      <c r="P29" s="145">
        <f t="shared" si="12"/>
        <v>6</v>
      </c>
      <c r="Q29" s="113">
        <f>IF(O29&gt;0,VLOOKUP(P29,'$ alcantarillado'!$I$5:$L$22,4,FALSE),"0")</f>
        <v>0.14499999999999999</v>
      </c>
      <c r="R29" s="113">
        <f t="shared" si="2"/>
        <v>6.3946910389487679E-3</v>
      </c>
      <c r="S29" s="146">
        <f t="shared" si="3"/>
        <v>0.81192980334642872</v>
      </c>
      <c r="T29" s="145">
        <f>+IF(S29&gt;$B$13,VLOOKUP(P29,'$ alcantarillado'!$I$6:$N$22,5),P29)</f>
        <v>6</v>
      </c>
      <c r="U29" s="113">
        <f>IF(O29&gt;0,VLOOKUP(T29,'$ alcantarillado'!$I$5:$L$22,4),"0")</f>
        <v>0.14499999999999999</v>
      </c>
      <c r="V29" s="113">
        <f t="shared" si="4"/>
        <v>6.3946910389487679E-3</v>
      </c>
      <c r="W29" s="146">
        <f t="shared" si="5"/>
        <v>0.81192980334642872</v>
      </c>
      <c r="X29" s="146">
        <f t="shared" ref="X29:X32" si="25">IF(T29&gt;0,4*V29/(PI()*(U29)^2),"")</f>
        <v>0.38725200985270652</v>
      </c>
      <c r="Y29" s="113">
        <f>IF(T29&gt;0,(VLOOKUP($W29,Relaciones!$A$4:$D$108,2)),"")</f>
        <v>0.98699999999999999</v>
      </c>
      <c r="Z29" s="146">
        <f t="shared" ref="Z29:Z32" si="26">IF(T29&gt;0,Y29*X29,"")</f>
        <v>0.38221773372462131</v>
      </c>
      <c r="AA29" s="146">
        <f t="shared" ref="AA29:AA32" si="27">IF(T29&gt;0,250*U29*J29,"")</f>
        <v>4.5312499999997424E-2</v>
      </c>
      <c r="AB29" s="147" t="str">
        <f t="shared" ref="AB29:AB32" si="28">IF(T29&gt;0,IF(W29&lt;=$B$13,"OK","No Cumple"),"")</f>
        <v>OK</v>
      </c>
      <c r="AC29" s="147" t="str">
        <f t="shared" ref="AC29:AC32" si="29">IF(T29&gt;0,IF(Z29&gt;=$B$12,"OK","No Cumple"),"")</f>
        <v>No Cumple</v>
      </c>
      <c r="AD29" s="147" t="str">
        <f t="shared" ref="AD29:AD32" si="30">IF(T29&gt;0,IF(AA29&gt;$B$14,"OK","No Cumple"),"")</f>
        <v>No Cumple</v>
      </c>
      <c r="AE29" s="148">
        <f t="shared" ref="AE29:AG32" si="31">+IF(AB29="OK",1,0)</f>
        <v>1</v>
      </c>
      <c r="AF29" s="148">
        <f t="shared" si="31"/>
        <v>0</v>
      </c>
      <c r="AG29" s="148">
        <f t="shared" si="31"/>
        <v>0</v>
      </c>
      <c r="AH29" s="148">
        <f t="shared" ref="AH29:AH32" si="32">SUM(AE29:AG29)</f>
        <v>1</v>
      </c>
      <c r="AI29" s="147">
        <f t="shared" ref="AI29:AI32" si="33">IF(AH29=3,2*$B$7+U29,0)</f>
        <v>0</v>
      </c>
      <c r="AJ29" s="149">
        <f>IF(AI29&gt;0,I29*VLOOKUP(T29,'$ alcantarillado'!$I$6:$K$22,3),0)</f>
        <v>0</v>
      </c>
      <c r="AK29" s="149">
        <f t="shared" si="6"/>
        <v>0</v>
      </c>
      <c r="AL29" s="149">
        <f t="shared" si="7"/>
        <v>0</v>
      </c>
      <c r="AM29" s="149">
        <f t="shared" si="22"/>
        <v>0</v>
      </c>
      <c r="AN29" s="142">
        <v>0</v>
      </c>
      <c r="AO29" s="150" t="str">
        <f t="shared" si="8"/>
        <v/>
      </c>
      <c r="AP29" s="218"/>
      <c r="AQ29" s="142"/>
      <c r="AR29" s="165"/>
    </row>
    <row r="30" spans="1:44" x14ac:dyDescent="0.25">
      <c r="A30" s="230"/>
      <c r="B30" s="230"/>
      <c r="C30" s="230"/>
      <c r="D30" s="230"/>
      <c r="E30" s="151">
        <v>3</v>
      </c>
      <c r="F30" s="128">
        <f t="shared" si="24"/>
        <v>47.849999999999994</v>
      </c>
      <c r="G30" s="151">
        <v>2</v>
      </c>
      <c r="H30" s="146">
        <f t="shared" ref="H30:I31" si="34">+H29</f>
        <v>47.875</v>
      </c>
      <c r="I30" s="142">
        <f t="shared" si="34"/>
        <v>80</v>
      </c>
      <c r="J30" s="143">
        <f t="shared" si="9"/>
        <v>-3.1250000000007108E-4</v>
      </c>
      <c r="K30" s="142">
        <f t="shared" ref="K30:K31" si="35">+K29</f>
        <v>158</v>
      </c>
      <c r="L30" s="128">
        <f t="shared" si="10"/>
        <v>5.1920402377148429</v>
      </c>
      <c r="M30" s="144">
        <f t="shared" si="11"/>
        <v>5.1920402377148428E-3</v>
      </c>
      <c r="N30" s="144">
        <f t="shared" si="0"/>
        <v>0</v>
      </c>
      <c r="O30" s="144">
        <f t="shared" si="1"/>
        <v>0</v>
      </c>
      <c r="P30" s="145">
        <f t="shared" si="12"/>
        <v>0</v>
      </c>
      <c r="Q30" s="113" t="str">
        <f>IF(O30&gt;0,VLOOKUP(P30,'$ alcantarillado'!$I$5:$L$22,4,FALSE),"0")</f>
        <v>0</v>
      </c>
      <c r="R30" s="113" t="str">
        <f t="shared" si="2"/>
        <v/>
      </c>
      <c r="S30" s="146">
        <f t="shared" si="3"/>
        <v>0</v>
      </c>
      <c r="T30" s="145">
        <f>+IF(S30&gt;$B$13,VLOOKUP(P30,'$ alcantarillado'!$I$6:$N$22,5),P30)</f>
        <v>0</v>
      </c>
      <c r="U30" s="113" t="str">
        <f>IF(O30&gt;0,VLOOKUP(T30,'$ alcantarillado'!$I$5:$L$22,4),"0")</f>
        <v>0</v>
      </c>
      <c r="V30" s="113" t="str">
        <f t="shared" si="4"/>
        <v/>
      </c>
      <c r="W30" s="146">
        <f t="shared" si="5"/>
        <v>0</v>
      </c>
      <c r="X30" s="146" t="str">
        <f t="shared" si="25"/>
        <v/>
      </c>
      <c r="Y30" s="113" t="str">
        <f>IF(T30&gt;0,(VLOOKUP($W30,Relaciones!$A$4:$D$108,2)),"")</f>
        <v/>
      </c>
      <c r="Z30" s="146" t="str">
        <f t="shared" si="26"/>
        <v/>
      </c>
      <c r="AA30" s="146" t="str">
        <f t="shared" si="27"/>
        <v/>
      </c>
      <c r="AB30" s="147" t="str">
        <f t="shared" si="28"/>
        <v/>
      </c>
      <c r="AC30" s="147" t="str">
        <f t="shared" si="29"/>
        <v/>
      </c>
      <c r="AD30" s="147" t="str">
        <f t="shared" si="30"/>
        <v/>
      </c>
      <c r="AE30" s="148">
        <f t="shared" si="31"/>
        <v>0</v>
      </c>
      <c r="AF30" s="148">
        <f t="shared" si="31"/>
        <v>0</v>
      </c>
      <c r="AG30" s="148">
        <f t="shared" si="31"/>
        <v>0</v>
      </c>
      <c r="AH30" s="148">
        <f t="shared" si="32"/>
        <v>0</v>
      </c>
      <c r="AI30" s="147">
        <f t="shared" si="33"/>
        <v>0</v>
      </c>
      <c r="AJ30" s="149">
        <f>IF(AI30&gt;0,I30*VLOOKUP(T30,'$ alcantarillado'!$I$6:$K$22,3),0)</f>
        <v>0</v>
      </c>
      <c r="AK30" s="149">
        <f t="shared" si="6"/>
        <v>0</v>
      </c>
      <c r="AL30" s="149">
        <f t="shared" si="7"/>
        <v>0</v>
      </c>
      <c r="AM30" s="149">
        <f t="shared" si="22"/>
        <v>0</v>
      </c>
      <c r="AN30" s="142">
        <v>0</v>
      </c>
      <c r="AO30" s="150" t="str">
        <f t="shared" si="8"/>
        <v/>
      </c>
      <c r="AP30" s="219"/>
      <c r="AQ30" s="142"/>
      <c r="AR30" s="165"/>
    </row>
    <row r="31" spans="1:44" x14ac:dyDescent="0.25">
      <c r="A31" s="230"/>
      <c r="B31" s="230"/>
      <c r="C31" s="230"/>
      <c r="D31" s="230"/>
      <c r="E31" s="151">
        <v>4</v>
      </c>
      <c r="F31" s="128">
        <f t="shared" si="24"/>
        <v>47.724999999999994</v>
      </c>
      <c r="G31" s="151">
        <v>2</v>
      </c>
      <c r="H31" s="146">
        <f t="shared" si="34"/>
        <v>47.875</v>
      </c>
      <c r="I31" s="142">
        <f t="shared" si="34"/>
        <v>80</v>
      </c>
      <c r="J31" s="143">
        <f>+(F31-H31)/I31</f>
        <v>-1.8750000000000711E-3</v>
      </c>
      <c r="K31" s="142">
        <f t="shared" si="35"/>
        <v>158</v>
      </c>
      <c r="L31" s="128">
        <f t="shared" si="10"/>
        <v>5.1920402377148429</v>
      </c>
      <c r="M31" s="144">
        <f t="shared" si="11"/>
        <v>5.1920402377148428E-3</v>
      </c>
      <c r="N31" s="144">
        <f t="shared" si="0"/>
        <v>0</v>
      </c>
      <c r="O31" s="144">
        <f t="shared" si="1"/>
        <v>0</v>
      </c>
      <c r="P31" s="145">
        <f t="shared" si="12"/>
        <v>0</v>
      </c>
      <c r="Q31" s="113" t="str">
        <f>IF(O31&gt;0,VLOOKUP(P31,'$ alcantarillado'!$I$5:$L$22,4,FALSE),"0")</f>
        <v>0</v>
      </c>
      <c r="R31" s="113" t="str">
        <f t="shared" si="2"/>
        <v/>
      </c>
      <c r="S31" s="146">
        <f t="shared" si="3"/>
        <v>0</v>
      </c>
      <c r="T31" s="145">
        <f>+IF(S31&gt;$B$13,VLOOKUP(P31,'$ alcantarillado'!$I$6:$N$22,5),P31)</f>
        <v>0</v>
      </c>
      <c r="U31" s="113" t="str">
        <f>IF(O31&gt;0,VLOOKUP(T31,'$ alcantarillado'!$I$5:$L$22,4),"0")</f>
        <v>0</v>
      </c>
      <c r="V31" s="113" t="str">
        <f t="shared" si="4"/>
        <v/>
      </c>
      <c r="W31" s="146">
        <f t="shared" si="5"/>
        <v>0</v>
      </c>
      <c r="X31" s="146" t="str">
        <f t="shared" si="25"/>
        <v/>
      </c>
      <c r="Y31" s="113" t="str">
        <f>IF(T31&gt;0,(VLOOKUP($W31,Relaciones!$A$4:$D$108,2)),"")</f>
        <v/>
      </c>
      <c r="Z31" s="146" t="str">
        <f t="shared" si="26"/>
        <v/>
      </c>
      <c r="AA31" s="146" t="str">
        <f t="shared" si="27"/>
        <v/>
      </c>
      <c r="AB31" s="147" t="str">
        <f t="shared" si="28"/>
        <v/>
      </c>
      <c r="AC31" s="147" t="str">
        <f t="shared" si="29"/>
        <v/>
      </c>
      <c r="AD31" s="147" t="str">
        <f t="shared" si="30"/>
        <v/>
      </c>
      <c r="AE31" s="148">
        <f t="shared" si="31"/>
        <v>0</v>
      </c>
      <c r="AF31" s="148">
        <f t="shared" si="31"/>
        <v>0</v>
      </c>
      <c r="AG31" s="148">
        <f t="shared" si="31"/>
        <v>0</v>
      </c>
      <c r="AH31" s="148">
        <f t="shared" si="32"/>
        <v>0</v>
      </c>
      <c r="AI31" s="147">
        <f t="shared" si="33"/>
        <v>0</v>
      </c>
      <c r="AJ31" s="149">
        <f>IF(AI31&gt;0,I31*VLOOKUP(T31,'$ alcantarillado'!$I$6:$K$22,3),0)</f>
        <v>0</v>
      </c>
      <c r="AK31" s="149">
        <f t="shared" si="6"/>
        <v>0</v>
      </c>
      <c r="AL31" s="149">
        <f t="shared" si="7"/>
        <v>0</v>
      </c>
      <c r="AM31" s="149">
        <f t="shared" si="22"/>
        <v>0</v>
      </c>
      <c r="AN31" s="142">
        <v>0</v>
      </c>
      <c r="AO31" s="150" t="str">
        <f t="shared" si="8"/>
        <v/>
      </c>
      <c r="AP31" s="219"/>
      <c r="AQ31" s="142"/>
      <c r="AR31" s="165"/>
    </row>
    <row r="32" spans="1:44" ht="15.75" thickBot="1" x14ac:dyDescent="0.3">
      <c r="A32" s="230"/>
      <c r="B32" s="230"/>
      <c r="C32" s="230"/>
      <c r="D32" s="230"/>
      <c r="E32" s="152">
        <v>5</v>
      </c>
      <c r="F32" s="153">
        <f t="shared" si="24"/>
        <v>47.599999999999994</v>
      </c>
      <c r="G32" s="152">
        <v>2</v>
      </c>
      <c r="H32" s="169">
        <f>+H31</f>
        <v>47.875</v>
      </c>
      <c r="I32" s="154">
        <f>+I31</f>
        <v>80</v>
      </c>
      <c r="J32" s="155">
        <f t="shared" si="9"/>
        <v>-3.4375000000000711E-3</v>
      </c>
      <c r="K32" s="154">
        <f>+K31</f>
        <v>158</v>
      </c>
      <c r="L32" s="153">
        <f t="shared" si="10"/>
        <v>5.1920402377148429</v>
      </c>
      <c r="M32" s="156">
        <f t="shared" si="11"/>
        <v>5.1920402377148428E-3</v>
      </c>
      <c r="N32" s="156">
        <f t="shared" si="0"/>
        <v>0</v>
      </c>
      <c r="O32" s="156">
        <f t="shared" si="1"/>
        <v>0</v>
      </c>
      <c r="P32" s="157">
        <f t="shared" si="12"/>
        <v>0</v>
      </c>
      <c r="Q32" s="113" t="str">
        <f>IF(O32&gt;0,VLOOKUP(P32,'$ alcantarillado'!$I$5:$L$22,4,FALSE),"0")</f>
        <v>0</v>
      </c>
      <c r="R32" s="160" t="str">
        <f t="shared" si="2"/>
        <v/>
      </c>
      <c r="S32" s="146">
        <f t="shared" si="3"/>
        <v>0</v>
      </c>
      <c r="T32" s="145">
        <f>+IF(S32&gt;$B$13,VLOOKUP(P32,'$ alcantarillado'!$I$6:$N$22,5),P32)</f>
        <v>0</v>
      </c>
      <c r="U32" s="113" t="str">
        <f>IF(O32&gt;0,VLOOKUP(T32,'$ alcantarillado'!$I$5:$L$22,4),"0")</f>
        <v>0</v>
      </c>
      <c r="V32" s="113" t="str">
        <f t="shared" si="4"/>
        <v/>
      </c>
      <c r="W32" s="146">
        <f t="shared" si="5"/>
        <v>0</v>
      </c>
      <c r="X32" s="146" t="str">
        <f t="shared" si="25"/>
        <v/>
      </c>
      <c r="Y32" s="113" t="str">
        <f>IF(T32&gt;0,(VLOOKUP($W32,Relaciones!$A$4:$D$108,2)),"")</f>
        <v/>
      </c>
      <c r="Z32" s="146" t="str">
        <f t="shared" si="26"/>
        <v/>
      </c>
      <c r="AA32" s="146" t="str">
        <f t="shared" si="27"/>
        <v/>
      </c>
      <c r="AB32" s="147" t="str">
        <f t="shared" si="28"/>
        <v/>
      </c>
      <c r="AC32" s="147" t="str">
        <f t="shared" si="29"/>
        <v/>
      </c>
      <c r="AD32" s="147" t="str">
        <f t="shared" si="30"/>
        <v/>
      </c>
      <c r="AE32" s="148">
        <f t="shared" si="31"/>
        <v>0</v>
      </c>
      <c r="AF32" s="148">
        <f t="shared" si="31"/>
        <v>0</v>
      </c>
      <c r="AG32" s="148">
        <f t="shared" si="31"/>
        <v>0</v>
      </c>
      <c r="AH32" s="148">
        <f t="shared" si="32"/>
        <v>0</v>
      </c>
      <c r="AI32" s="147">
        <f t="shared" si="33"/>
        <v>0</v>
      </c>
      <c r="AJ32" s="158">
        <f>IF(AI32&gt;0,I32*VLOOKUP(T32,'$ alcantarillado'!$I$6:$K$22,3),0)</f>
        <v>0</v>
      </c>
      <c r="AK32" s="158">
        <f t="shared" si="6"/>
        <v>0</v>
      </c>
      <c r="AL32" s="158">
        <f t="shared" si="7"/>
        <v>0</v>
      </c>
      <c r="AM32" s="158">
        <f t="shared" si="22"/>
        <v>0</v>
      </c>
      <c r="AN32" s="154">
        <v>0</v>
      </c>
      <c r="AO32" s="159" t="str">
        <f t="shared" si="8"/>
        <v/>
      </c>
      <c r="AP32" s="220"/>
      <c r="AQ32" s="154"/>
      <c r="AR32" s="166"/>
    </row>
    <row r="33" spans="1:44" x14ac:dyDescent="0.25">
      <c r="A33" s="230"/>
      <c r="B33" s="230"/>
      <c r="C33" s="230"/>
      <c r="D33" s="230"/>
      <c r="E33" s="127">
        <v>1</v>
      </c>
      <c r="F33" s="132">
        <f t="shared" si="24"/>
        <v>48.099999999999994</v>
      </c>
      <c r="G33" s="127">
        <v>3</v>
      </c>
      <c r="H33" s="136">
        <f>+'LOGIKA AN-3'!H33</f>
        <v>47.75</v>
      </c>
      <c r="I33" s="129">
        <f t="shared" ref="I33:K33" si="36">+I32</f>
        <v>80</v>
      </c>
      <c r="J33" s="143">
        <f>+(F33-H33)/I33</f>
        <v>4.3749999999999293E-3</v>
      </c>
      <c r="K33" s="129">
        <f t="shared" si="36"/>
        <v>158</v>
      </c>
      <c r="L33" s="132">
        <f>IF(K33&lt;38,K33^0.3686*0.7401,IF(K33&lt;235,K33^0.4193*0.6215,IF(K33&lt;932,K33*0.0092+4.2493,K33*0.0069+6.7345)))</f>
        <v>5.1920402377148429</v>
      </c>
      <c r="M33" s="133">
        <f>+L33/1000</f>
        <v>5.1920402377148428E-3</v>
      </c>
      <c r="N33" s="133">
        <f t="shared" si="0"/>
        <v>0.10602900237114536</v>
      </c>
      <c r="O33" s="133">
        <f t="shared" si="1"/>
        <v>4.1743701720923374</v>
      </c>
      <c r="P33" s="134">
        <f t="shared" si="12"/>
        <v>6</v>
      </c>
      <c r="Q33" s="135">
        <f>IF(O33&gt;0,VLOOKUP(P33,'$ alcantarillado'!$I$5:$L$22,4,FALSE),"0")</f>
        <v>0.14499999999999999</v>
      </c>
      <c r="R33" s="135">
        <f t="shared" si="2"/>
        <v>1.1963371481010138E-2</v>
      </c>
      <c r="S33" s="136">
        <f t="shared" si="3"/>
        <v>0.43399473517614517</v>
      </c>
      <c r="T33" s="134">
        <f>+IF(S33&gt;$B$13,VLOOKUP(P33,'$ alcantarillado'!$I$6:$N$22,5),P33)</f>
        <v>6</v>
      </c>
      <c r="U33" s="135">
        <f>IF(O33&gt;0,VLOOKUP(T33,'$ alcantarillado'!$I$5:$L$22,4),"0")</f>
        <v>0.14499999999999999</v>
      </c>
      <c r="V33" s="135">
        <f t="shared" si="4"/>
        <v>1.1963371481010138E-2</v>
      </c>
      <c r="W33" s="136">
        <f t="shared" si="5"/>
        <v>0.43399473517614517</v>
      </c>
      <c r="X33" s="136">
        <f>IF(T33&gt;0,4*V33/(PI()*(U33)^2),"")</f>
        <v>0.72448217160423212</v>
      </c>
      <c r="Y33" s="135">
        <f>IF(T33&gt;0,(VLOOKUP($W33,Relaciones!$A$4:$D$108,2)),"")</f>
        <v>0.81</v>
      </c>
      <c r="Z33" s="136">
        <f>IF(T33&gt;0,Y33*X33,"")</f>
        <v>0.58683055899942804</v>
      </c>
      <c r="AA33" s="136">
        <f>IF(T33&gt;0,250*U33*J33,"")</f>
        <v>0.15859374999999742</v>
      </c>
      <c r="AB33" s="137" t="str">
        <f>IF(T33&gt;0,IF(W33&lt;=$B$13,"OK","No Cumple"),"")</f>
        <v>OK</v>
      </c>
      <c r="AC33" s="137" t="str">
        <f>IF(T33&gt;0,IF(Z33&gt;=$B$12,"OK","No Cumple"),"")</f>
        <v>OK</v>
      </c>
      <c r="AD33" s="137" t="str">
        <f>IF(T33&gt;0,IF(AA33&gt;$B$14,"OK","No Cumple"),"")</f>
        <v>OK</v>
      </c>
      <c r="AE33" s="138">
        <f>+IF(AB33="OK",1,0)</f>
        <v>1</v>
      </c>
      <c r="AF33" s="138">
        <f>+IF(AC33="OK",1,0)</f>
        <v>1</v>
      </c>
      <c r="AG33" s="138">
        <f>+IF(AD33="OK",1,0)</f>
        <v>1</v>
      </c>
      <c r="AH33" s="138">
        <f>SUM(AE33:AG33)</f>
        <v>3</v>
      </c>
      <c r="AI33" s="137">
        <f>IF(AH33=3,2*$B$7+U33,0)</f>
        <v>0.64500000000000002</v>
      </c>
      <c r="AJ33" s="139">
        <f>IF(AI33&gt;0,I33*VLOOKUP(T33,'$ alcantarillado'!$I$6:$K$22,3),0)</f>
        <v>1912173.3333333335</v>
      </c>
      <c r="AK33" s="139">
        <f t="shared" si="6"/>
        <v>1989954.0000000042</v>
      </c>
      <c r="AL33" s="139">
        <f t="shared" si="7"/>
        <v>938784.44500000204</v>
      </c>
      <c r="AM33" s="139">
        <f>IF(AJ33&gt;0,AJ33+AK33+AL33,0)</f>
        <v>4840911.7783333398</v>
      </c>
      <c r="AN33" s="129">
        <v>0</v>
      </c>
      <c r="AO33" s="173">
        <f t="shared" si="8"/>
        <v>4840911.7783333398</v>
      </c>
      <c r="AP33" s="247">
        <f>+MIN(AO33:AO37)</f>
        <v>4840911.7783333398</v>
      </c>
      <c r="AQ33" s="129"/>
      <c r="AR33" s="163"/>
    </row>
    <row r="34" spans="1:44" x14ac:dyDescent="0.25">
      <c r="A34" s="230"/>
      <c r="B34" s="230"/>
      <c r="C34" s="230"/>
      <c r="D34" s="230"/>
      <c r="E34" s="141">
        <v>2</v>
      </c>
      <c r="F34" s="128">
        <f t="shared" si="24"/>
        <v>47.974999999999994</v>
      </c>
      <c r="G34" s="141">
        <v>3</v>
      </c>
      <c r="H34" s="142">
        <f>+H33</f>
        <v>47.75</v>
      </c>
      <c r="I34" s="142">
        <f>+I33</f>
        <v>80</v>
      </c>
      <c r="J34" s="143">
        <f t="shared" si="9"/>
        <v>2.8124999999999288E-3</v>
      </c>
      <c r="K34" s="142">
        <f>+K33</f>
        <v>158</v>
      </c>
      <c r="L34" s="128">
        <f t="shared" si="10"/>
        <v>5.1920402377148429</v>
      </c>
      <c r="M34" s="144">
        <f t="shared" si="11"/>
        <v>5.1920402377148428E-3</v>
      </c>
      <c r="N34" s="144">
        <f t="shared" si="0"/>
        <v>0.11518693207929813</v>
      </c>
      <c r="O34" s="144">
        <f t="shared" si="1"/>
        <v>4.5349185857991392</v>
      </c>
      <c r="P34" s="145">
        <f t="shared" si="12"/>
        <v>6</v>
      </c>
      <c r="Q34" s="113">
        <f>IF(O34&gt;0,VLOOKUP(P34,'$ alcantarillado'!$I$5:$L$22,4,FALSE),"0")</f>
        <v>0.14499999999999999</v>
      </c>
      <c r="R34" s="113">
        <f t="shared" si="2"/>
        <v>9.5920365584233041E-3</v>
      </c>
      <c r="S34" s="146">
        <f t="shared" si="3"/>
        <v>0.54128653556427719</v>
      </c>
      <c r="T34" s="145">
        <f>+IF(S34&gt;$B$13,VLOOKUP(P34,'$ alcantarillado'!$I$6:$N$22,5),P34)</f>
        <v>6</v>
      </c>
      <c r="U34" s="113">
        <f>IF(O34&gt;0,VLOOKUP(T34,'$ alcantarillado'!$I$5:$L$22,4),"0")</f>
        <v>0.14499999999999999</v>
      </c>
      <c r="V34" s="113">
        <f t="shared" si="4"/>
        <v>9.5920365584233041E-3</v>
      </c>
      <c r="W34" s="146">
        <f t="shared" si="5"/>
        <v>0.54128653556427719</v>
      </c>
      <c r="X34" s="146">
        <f t="shared" ref="X34:X37" si="37">IF(T34&gt;0,4*V34/(PI()*(U34)^2),"")</f>
        <v>0.58087801477906897</v>
      </c>
      <c r="Y34" s="113">
        <f>IF(T34&gt;0,(VLOOKUP($W34,Relaciones!$A$4:$D$108,2)),"")</f>
        <v>0.87</v>
      </c>
      <c r="Z34" s="146">
        <f t="shared" ref="Z34:Z37" si="38">IF(T34&gt;0,Y34*X34,"")</f>
        <v>0.50536387285779005</v>
      </c>
      <c r="AA34" s="146">
        <f t="shared" ref="AA34:AA37" si="39">IF(T34&gt;0,250*U34*J34,"")</f>
        <v>0.10195312499999742</v>
      </c>
      <c r="AB34" s="147" t="str">
        <f t="shared" ref="AB34:AB37" si="40">IF(T34&gt;0,IF(W34&lt;=$B$13,"OK","No Cumple"),"")</f>
        <v>OK</v>
      </c>
      <c r="AC34" s="147" t="str">
        <f t="shared" ref="AC34:AC37" si="41">IF(T34&gt;0,IF(Z34&gt;=$B$12,"OK","No Cumple"),"")</f>
        <v>OK</v>
      </c>
      <c r="AD34" s="147" t="str">
        <f t="shared" ref="AD34:AD37" si="42">IF(T34&gt;0,IF(AA34&gt;$B$14,"OK","No Cumple"),"")</f>
        <v>No Cumple</v>
      </c>
      <c r="AE34" s="148">
        <f t="shared" ref="AE34:AG37" si="43">+IF(AB34="OK",1,0)</f>
        <v>1</v>
      </c>
      <c r="AF34" s="148">
        <f t="shared" si="43"/>
        <v>1</v>
      </c>
      <c r="AG34" s="148">
        <f t="shared" si="43"/>
        <v>0</v>
      </c>
      <c r="AH34" s="148">
        <f t="shared" ref="AH34:AH37" si="44">SUM(AE34:AG34)</f>
        <v>2</v>
      </c>
      <c r="AI34" s="147">
        <f t="shared" ref="AI34:AI37" si="45">IF(AH34=3,2*$B$7+U34,0)</f>
        <v>0</v>
      </c>
      <c r="AJ34" s="149">
        <f>IF(AI34&gt;0,I34*VLOOKUP(T34,'$ alcantarillado'!$I$6:$K$22,3),0)</f>
        <v>0</v>
      </c>
      <c r="AK34" s="149">
        <f t="shared" si="6"/>
        <v>0</v>
      </c>
      <c r="AL34" s="149">
        <f t="shared" si="7"/>
        <v>0</v>
      </c>
      <c r="AM34" s="149">
        <f t="shared" si="22"/>
        <v>0</v>
      </c>
      <c r="AN34" s="142">
        <v>0</v>
      </c>
      <c r="AO34" s="150" t="str">
        <f t="shared" si="8"/>
        <v/>
      </c>
      <c r="AP34" s="226"/>
      <c r="AQ34" s="142"/>
      <c r="AR34" s="165"/>
    </row>
    <row r="35" spans="1:44" x14ac:dyDescent="0.25">
      <c r="A35" s="230"/>
      <c r="B35" s="230"/>
      <c r="C35" s="230"/>
      <c r="D35" s="230"/>
      <c r="E35" s="151">
        <v>3</v>
      </c>
      <c r="F35" s="128">
        <f t="shared" si="24"/>
        <v>47.849999999999994</v>
      </c>
      <c r="G35" s="141">
        <v>3</v>
      </c>
      <c r="H35" s="142">
        <f t="shared" ref="H35:I36" si="46">+H34</f>
        <v>47.75</v>
      </c>
      <c r="I35" s="142">
        <f t="shared" si="46"/>
        <v>80</v>
      </c>
      <c r="J35" s="143">
        <f t="shared" si="9"/>
        <v>1.2499999999999289E-3</v>
      </c>
      <c r="K35" s="142">
        <f t="shared" ref="K35:K36" si="47">+K34</f>
        <v>158</v>
      </c>
      <c r="L35" s="128">
        <f t="shared" si="10"/>
        <v>5.1920402377148429</v>
      </c>
      <c r="M35" s="144">
        <f t="shared" si="11"/>
        <v>5.1920402377148428E-3</v>
      </c>
      <c r="N35" s="144">
        <f t="shared" si="0"/>
        <v>0.13410267267565754</v>
      </c>
      <c r="O35" s="144">
        <f t="shared" si="1"/>
        <v>5.2796327825062024</v>
      </c>
      <c r="P35" s="145">
        <f t="shared" si="12"/>
        <v>6</v>
      </c>
      <c r="Q35" s="113">
        <f>IF(O35&gt;0,VLOOKUP(P35,'$ alcantarillado'!$I$5:$L$22,4,FALSE),"0")</f>
        <v>0.14499999999999999</v>
      </c>
      <c r="R35" s="113">
        <f t="shared" si="2"/>
        <v>6.3946910389487679E-3</v>
      </c>
      <c r="S35" s="146">
        <f t="shared" si="3"/>
        <v>0.81192980334642872</v>
      </c>
      <c r="T35" s="145">
        <f>+IF(S35&gt;$B$13,VLOOKUP(P35,'$ alcantarillado'!$I$6:$N$22,5),P35)</f>
        <v>6</v>
      </c>
      <c r="U35" s="113">
        <f>IF(O35&gt;0,VLOOKUP(T35,'$ alcantarillado'!$I$5:$L$22,4),"0")</f>
        <v>0.14499999999999999</v>
      </c>
      <c r="V35" s="113">
        <f t="shared" si="4"/>
        <v>6.3946910389487679E-3</v>
      </c>
      <c r="W35" s="146">
        <f t="shared" si="5"/>
        <v>0.81192980334642872</v>
      </c>
      <c r="X35" s="146">
        <f t="shared" si="37"/>
        <v>0.38725200985270652</v>
      </c>
      <c r="Y35" s="113">
        <f>IF(T35&gt;0,(VLOOKUP($W35,Relaciones!$A$4:$D$108,2)),"")</f>
        <v>0.98699999999999999</v>
      </c>
      <c r="Z35" s="146">
        <f t="shared" si="38"/>
        <v>0.38221773372462131</v>
      </c>
      <c r="AA35" s="146">
        <f t="shared" si="39"/>
        <v>4.5312499999997424E-2</v>
      </c>
      <c r="AB35" s="147" t="str">
        <f t="shared" si="40"/>
        <v>OK</v>
      </c>
      <c r="AC35" s="147" t="str">
        <f t="shared" si="41"/>
        <v>No Cumple</v>
      </c>
      <c r="AD35" s="147" t="str">
        <f t="shared" si="42"/>
        <v>No Cumple</v>
      </c>
      <c r="AE35" s="148">
        <f t="shared" si="43"/>
        <v>1</v>
      </c>
      <c r="AF35" s="148">
        <f t="shared" si="43"/>
        <v>0</v>
      </c>
      <c r="AG35" s="148">
        <f t="shared" si="43"/>
        <v>0</v>
      </c>
      <c r="AH35" s="148">
        <f t="shared" si="44"/>
        <v>1</v>
      </c>
      <c r="AI35" s="147">
        <f t="shared" si="45"/>
        <v>0</v>
      </c>
      <c r="AJ35" s="149">
        <f>IF(AI35&gt;0,I35*VLOOKUP(T35,'$ alcantarillado'!$I$6:$K$22,3),0)</f>
        <v>0</v>
      </c>
      <c r="AK35" s="149">
        <f t="shared" si="6"/>
        <v>0</v>
      </c>
      <c r="AL35" s="149">
        <f t="shared" si="7"/>
        <v>0</v>
      </c>
      <c r="AM35" s="149">
        <f t="shared" si="22"/>
        <v>0</v>
      </c>
      <c r="AN35" s="142">
        <v>0</v>
      </c>
      <c r="AO35" s="150" t="str">
        <f t="shared" si="8"/>
        <v/>
      </c>
      <c r="AP35" s="227"/>
      <c r="AQ35" s="142"/>
      <c r="AR35" s="165"/>
    </row>
    <row r="36" spans="1:44" x14ac:dyDescent="0.25">
      <c r="A36" s="230"/>
      <c r="B36" s="230"/>
      <c r="C36" s="230"/>
      <c r="D36" s="230"/>
      <c r="E36" s="151">
        <v>4</v>
      </c>
      <c r="F36" s="128">
        <f t="shared" si="24"/>
        <v>47.724999999999994</v>
      </c>
      <c r="G36" s="141">
        <v>3</v>
      </c>
      <c r="H36" s="142">
        <f t="shared" si="46"/>
        <v>47.75</v>
      </c>
      <c r="I36" s="142">
        <f t="shared" si="46"/>
        <v>80</v>
      </c>
      <c r="J36" s="143">
        <f>+(F36-H36)/I36</f>
        <v>-3.1250000000007108E-4</v>
      </c>
      <c r="K36" s="142">
        <f t="shared" si="47"/>
        <v>158</v>
      </c>
      <c r="L36" s="128">
        <f t="shared" si="10"/>
        <v>5.1920402377148429</v>
      </c>
      <c r="M36" s="144">
        <f t="shared" si="11"/>
        <v>5.1920402377148428E-3</v>
      </c>
      <c r="N36" s="144">
        <f t="shared" si="0"/>
        <v>0</v>
      </c>
      <c r="O36" s="144">
        <f t="shared" si="1"/>
        <v>0</v>
      </c>
      <c r="P36" s="145">
        <f t="shared" si="12"/>
        <v>0</v>
      </c>
      <c r="Q36" s="113" t="str">
        <f>IF(O36&gt;0,VLOOKUP(P36,'$ alcantarillado'!$I$5:$L$22,4,FALSE),"0")</f>
        <v>0</v>
      </c>
      <c r="R36" s="113" t="str">
        <f t="shared" si="2"/>
        <v/>
      </c>
      <c r="S36" s="146">
        <f t="shared" si="3"/>
        <v>0</v>
      </c>
      <c r="T36" s="145">
        <f>+IF(S36&gt;$B$13,VLOOKUP(P36,'$ alcantarillado'!$I$6:$N$22,5),P36)</f>
        <v>0</v>
      </c>
      <c r="U36" s="113" t="str">
        <f>IF(O36&gt;0,VLOOKUP(T36,'$ alcantarillado'!$I$5:$L$22,4),"0")</f>
        <v>0</v>
      </c>
      <c r="V36" s="113" t="str">
        <f t="shared" si="4"/>
        <v/>
      </c>
      <c r="W36" s="146">
        <f t="shared" si="5"/>
        <v>0</v>
      </c>
      <c r="X36" s="146" t="str">
        <f t="shared" si="37"/>
        <v/>
      </c>
      <c r="Y36" s="113" t="str">
        <f>IF(T36&gt;0,(VLOOKUP($W36,Relaciones!$A$4:$D$108,2)),"")</f>
        <v/>
      </c>
      <c r="Z36" s="146" t="str">
        <f t="shared" si="38"/>
        <v/>
      </c>
      <c r="AA36" s="146" t="str">
        <f t="shared" si="39"/>
        <v/>
      </c>
      <c r="AB36" s="147" t="str">
        <f t="shared" si="40"/>
        <v/>
      </c>
      <c r="AC36" s="147" t="str">
        <f t="shared" si="41"/>
        <v/>
      </c>
      <c r="AD36" s="147" t="str">
        <f t="shared" si="42"/>
        <v/>
      </c>
      <c r="AE36" s="148">
        <f t="shared" si="43"/>
        <v>0</v>
      </c>
      <c r="AF36" s="148">
        <f t="shared" si="43"/>
        <v>0</v>
      </c>
      <c r="AG36" s="148">
        <f t="shared" si="43"/>
        <v>0</v>
      </c>
      <c r="AH36" s="148">
        <f t="shared" si="44"/>
        <v>0</v>
      </c>
      <c r="AI36" s="147">
        <f t="shared" si="45"/>
        <v>0</v>
      </c>
      <c r="AJ36" s="149">
        <f>IF(AI36&gt;0,I36*VLOOKUP(T36,'$ alcantarillado'!$I$6:$K$22,3),0)</f>
        <v>0</v>
      </c>
      <c r="AK36" s="149">
        <f t="shared" si="6"/>
        <v>0</v>
      </c>
      <c r="AL36" s="149">
        <f t="shared" si="7"/>
        <v>0</v>
      </c>
      <c r="AM36" s="149">
        <f t="shared" si="22"/>
        <v>0</v>
      </c>
      <c r="AN36" s="142">
        <v>0</v>
      </c>
      <c r="AO36" s="150" t="str">
        <f t="shared" si="8"/>
        <v/>
      </c>
      <c r="AP36" s="227"/>
      <c r="AQ36" s="142">
        <v>1</v>
      </c>
      <c r="AR36" s="165">
        <v>3</v>
      </c>
    </row>
    <row r="37" spans="1:44" ht="15.75" thickBot="1" x14ac:dyDescent="0.3">
      <c r="A37" s="230"/>
      <c r="B37" s="230"/>
      <c r="C37" s="230"/>
      <c r="D37" s="230"/>
      <c r="E37" s="152">
        <v>5</v>
      </c>
      <c r="F37" s="153">
        <f t="shared" si="24"/>
        <v>47.599999999999994</v>
      </c>
      <c r="G37" s="152">
        <v>3</v>
      </c>
      <c r="H37" s="154">
        <f>+H36</f>
        <v>47.75</v>
      </c>
      <c r="I37" s="154">
        <f>+I36</f>
        <v>80</v>
      </c>
      <c r="J37" s="155">
        <f t="shared" si="9"/>
        <v>-1.8750000000000711E-3</v>
      </c>
      <c r="K37" s="154">
        <f>+K36</f>
        <v>158</v>
      </c>
      <c r="L37" s="153">
        <f t="shared" si="10"/>
        <v>5.1920402377148429</v>
      </c>
      <c r="M37" s="156">
        <f t="shared" si="11"/>
        <v>5.1920402377148428E-3</v>
      </c>
      <c r="N37" s="156">
        <f t="shared" si="0"/>
        <v>0</v>
      </c>
      <c r="O37" s="156">
        <f t="shared" si="1"/>
        <v>0</v>
      </c>
      <c r="P37" s="157">
        <f t="shared" si="12"/>
        <v>0</v>
      </c>
      <c r="Q37" s="113" t="str">
        <f>IF(O37&gt;0,VLOOKUP(P37,'$ alcantarillado'!$I$5:$L$22,4,FALSE),"0")</f>
        <v>0</v>
      </c>
      <c r="R37" s="160" t="str">
        <f t="shared" si="2"/>
        <v/>
      </c>
      <c r="S37" s="146">
        <f t="shared" si="3"/>
        <v>0</v>
      </c>
      <c r="T37" s="145">
        <f>+IF(S37&gt;$B$13,VLOOKUP(P37,'$ alcantarillado'!$I$6:$N$22,5),P37)</f>
        <v>0</v>
      </c>
      <c r="U37" s="113" t="str">
        <f>IF(O37&gt;0,VLOOKUP(T37,'$ alcantarillado'!$I$5:$L$22,4),"0")</f>
        <v>0</v>
      </c>
      <c r="V37" s="113" t="str">
        <f t="shared" si="4"/>
        <v/>
      </c>
      <c r="W37" s="146">
        <f t="shared" si="5"/>
        <v>0</v>
      </c>
      <c r="X37" s="146" t="str">
        <f t="shared" si="37"/>
        <v/>
      </c>
      <c r="Y37" s="113" t="str">
        <f>IF(T37&gt;0,(VLOOKUP($W37,Relaciones!$A$4:$D$108,2)),"")</f>
        <v/>
      </c>
      <c r="Z37" s="146" t="str">
        <f t="shared" si="38"/>
        <v/>
      </c>
      <c r="AA37" s="146" t="str">
        <f t="shared" si="39"/>
        <v/>
      </c>
      <c r="AB37" s="147" t="str">
        <f t="shared" si="40"/>
        <v/>
      </c>
      <c r="AC37" s="147" t="str">
        <f t="shared" si="41"/>
        <v/>
      </c>
      <c r="AD37" s="147" t="str">
        <f t="shared" si="42"/>
        <v/>
      </c>
      <c r="AE37" s="148">
        <f t="shared" si="43"/>
        <v>0</v>
      </c>
      <c r="AF37" s="148">
        <f t="shared" si="43"/>
        <v>0</v>
      </c>
      <c r="AG37" s="148">
        <f t="shared" si="43"/>
        <v>0</v>
      </c>
      <c r="AH37" s="148">
        <f t="shared" si="44"/>
        <v>0</v>
      </c>
      <c r="AI37" s="147">
        <f t="shared" si="45"/>
        <v>0</v>
      </c>
      <c r="AJ37" s="158">
        <f>IF(AI37&gt;0,I37*VLOOKUP(T37,'$ alcantarillado'!$I$6:$K$22,3),0)</f>
        <v>0</v>
      </c>
      <c r="AK37" s="158">
        <f t="shared" si="6"/>
        <v>0</v>
      </c>
      <c r="AL37" s="158">
        <f t="shared" si="7"/>
        <v>0</v>
      </c>
      <c r="AM37" s="158">
        <f t="shared" si="22"/>
        <v>0</v>
      </c>
      <c r="AN37" s="154">
        <v>0</v>
      </c>
      <c r="AO37" s="159" t="str">
        <f t="shared" si="8"/>
        <v/>
      </c>
      <c r="AP37" s="228"/>
      <c r="AQ37" s="154"/>
      <c r="AR37" s="166"/>
    </row>
    <row r="38" spans="1:44" x14ac:dyDescent="0.25">
      <c r="A38" s="230"/>
      <c r="B38" s="230"/>
      <c r="C38" s="230"/>
      <c r="D38" s="230"/>
      <c r="E38" s="127">
        <v>1</v>
      </c>
      <c r="F38" s="132">
        <f t="shared" si="24"/>
        <v>48.099999999999994</v>
      </c>
      <c r="G38" s="127">
        <v>4</v>
      </c>
      <c r="H38" s="132">
        <f>+H33-$B$15</f>
        <v>47.625</v>
      </c>
      <c r="I38" s="142">
        <f>+I33</f>
        <v>80</v>
      </c>
      <c r="J38" s="143">
        <f>+(F38-H38)/I38</f>
        <v>5.9374999999999289E-3</v>
      </c>
      <c r="K38" s="142">
        <f>+K33</f>
        <v>158</v>
      </c>
      <c r="L38" s="132">
        <f>IF(K38&lt;38,K38^0.3686*0.7401,IF(K38&lt;235,K38^0.4193*0.6215,IF(K38&lt;932,K38*0.0092+4.2493,K38*0.0069+6.7345)))</f>
        <v>5.1920402377148429</v>
      </c>
      <c r="M38" s="133">
        <f>+L38/1000</f>
        <v>5.1920402377148428E-3</v>
      </c>
      <c r="N38" s="133">
        <f t="shared" si="0"/>
        <v>0.10012842426186469</v>
      </c>
      <c r="O38" s="133">
        <f t="shared" si="1"/>
        <v>3.9420639473175076</v>
      </c>
      <c r="P38" s="134">
        <f t="shared" si="12"/>
        <v>6</v>
      </c>
      <c r="Q38" s="135">
        <f>IF(O38&gt;0,VLOOKUP(P38,'$ alcantarillado'!$I$5:$L$22,4,FALSE),"0")</f>
        <v>0.14499999999999999</v>
      </c>
      <c r="R38" s="135">
        <f t="shared" si="2"/>
        <v>1.3936906006971714E-2</v>
      </c>
      <c r="S38" s="136">
        <f t="shared" si="3"/>
        <v>0.37253894337219523</v>
      </c>
      <c r="T38" s="134">
        <f>+IF(S38&gt;$B$13,VLOOKUP(P38,'$ alcantarillado'!$I$6:$N$22,5),P38)</f>
        <v>6</v>
      </c>
      <c r="U38" s="135">
        <f>IF(O38&gt;0,VLOOKUP(T38,'$ alcantarillado'!$I$5:$L$22,4),"0")</f>
        <v>0.14499999999999999</v>
      </c>
      <c r="V38" s="135">
        <f t="shared" si="4"/>
        <v>1.3936906006971714E-2</v>
      </c>
      <c r="W38" s="136">
        <f t="shared" si="5"/>
        <v>0.37253894337219523</v>
      </c>
      <c r="X38" s="136">
        <f>IF(T38&gt;0,4*V38/(PI()*(U38)^2),"")</f>
        <v>0.84399618831550161</v>
      </c>
      <c r="Y38" s="135">
        <f>IF(T38&gt;0,(VLOOKUP($W38,Relaciones!$A$4:$D$108,2)),"")</f>
        <v>0.77600000000000002</v>
      </c>
      <c r="Z38" s="136">
        <f>IF(T38&gt;0,Y38*X38,"")</f>
        <v>0.65494104213282922</v>
      </c>
      <c r="AA38" s="136">
        <f>IF(T38&gt;0,250*U38*J38,"")</f>
        <v>0.21523437499999742</v>
      </c>
      <c r="AB38" s="137" t="str">
        <f>IF(T38&gt;0,IF(W38&lt;=$B$13,"OK","No Cumple"),"")</f>
        <v>OK</v>
      </c>
      <c r="AC38" s="137" t="str">
        <f>IF(T38&gt;0,IF(Z38&gt;=$B$12,"OK","No Cumple"),"")</f>
        <v>OK</v>
      </c>
      <c r="AD38" s="137" t="str">
        <f>IF(T38&gt;0,IF(AA38&gt;$B$14,"OK","No Cumple"),"")</f>
        <v>OK</v>
      </c>
      <c r="AE38" s="138">
        <f>+IF(AB38="OK",1,0)</f>
        <v>1</v>
      </c>
      <c r="AF38" s="138">
        <f>+IF(AC38="OK",1,0)</f>
        <v>1</v>
      </c>
      <c r="AG38" s="138">
        <f>+IF(AD38="OK",1,0)</f>
        <v>1</v>
      </c>
      <c r="AH38" s="138">
        <f>SUM(AE38:AG38)</f>
        <v>3</v>
      </c>
      <c r="AI38" s="137">
        <f>IF(AH38=3,2*$B$7+U38,0)</f>
        <v>0.64500000000000002</v>
      </c>
      <c r="AJ38" s="139">
        <f>IF(AI38&gt;0,I38*VLOOKUP(T38,'$ alcantarillado'!$I$6:$K$22,3),0)</f>
        <v>1912173.3333333335</v>
      </c>
      <c r="AK38" s="139">
        <f t="shared" si="6"/>
        <v>2048004.0000000042</v>
      </c>
      <c r="AL38" s="139">
        <f t="shared" si="7"/>
        <v>938784.44500000204</v>
      </c>
      <c r="AM38" s="139">
        <f>IF(AJ38&gt;0,AJ38+AK38+AL38,0)</f>
        <v>4898961.7783333398</v>
      </c>
      <c r="AN38" s="129">
        <v>0</v>
      </c>
      <c r="AO38" s="140">
        <f t="shared" si="8"/>
        <v>4898961.7783333398</v>
      </c>
      <c r="AP38" s="232">
        <f>+MIN(AO38:AO42)</f>
        <v>4898961.7783333398</v>
      </c>
      <c r="AQ38" s="129"/>
      <c r="AR38" s="163"/>
    </row>
    <row r="39" spans="1:44" x14ac:dyDescent="0.25">
      <c r="A39" s="230"/>
      <c r="B39" s="230"/>
      <c r="C39" s="230"/>
      <c r="D39" s="230"/>
      <c r="E39" s="141">
        <v>2</v>
      </c>
      <c r="F39" s="128">
        <f t="shared" si="24"/>
        <v>47.974999999999994</v>
      </c>
      <c r="G39" s="141">
        <v>4</v>
      </c>
      <c r="H39" s="128">
        <f>+H38</f>
        <v>47.625</v>
      </c>
      <c r="I39" s="142">
        <f>+I38</f>
        <v>80</v>
      </c>
      <c r="J39" s="143">
        <f t="shared" si="9"/>
        <v>4.3749999999999293E-3</v>
      </c>
      <c r="K39" s="142">
        <f>+K38</f>
        <v>158</v>
      </c>
      <c r="L39" s="128">
        <f t="shared" si="10"/>
        <v>5.1920402377148429</v>
      </c>
      <c r="M39" s="144">
        <f t="shared" si="11"/>
        <v>5.1920402377148428E-3</v>
      </c>
      <c r="N39" s="144">
        <f t="shared" si="0"/>
        <v>0.10602900237114536</v>
      </c>
      <c r="O39" s="144">
        <f t="shared" si="1"/>
        <v>4.1743701720923374</v>
      </c>
      <c r="P39" s="145">
        <f t="shared" si="12"/>
        <v>6</v>
      </c>
      <c r="Q39" s="113">
        <f>IF(O39&gt;0,VLOOKUP(P39,'$ alcantarillado'!$I$5:$L$22,4,FALSE),"0")</f>
        <v>0.14499999999999999</v>
      </c>
      <c r="R39" s="113">
        <f t="shared" si="2"/>
        <v>1.1963371481010138E-2</v>
      </c>
      <c r="S39" s="146">
        <f t="shared" si="3"/>
        <v>0.43399473517614517</v>
      </c>
      <c r="T39" s="145">
        <f>+IF(S39&gt;$B$13,VLOOKUP(P39,'$ alcantarillado'!$I$6:$N$22,5),P39)</f>
        <v>6</v>
      </c>
      <c r="U39" s="113">
        <f>IF(O39&gt;0,VLOOKUP(T39,'$ alcantarillado'!$I$5:$L$22,4),"0")</f>
        <v>0.14499999999999999</v>
      </c>
      <c r="V39" s="113">
        <f t="shared" si="4"/>
        <v>1.1963371481010138E-2</v>
      </c>
      <c r="W39" s="146">
        <f t="shared" si="5"/>
        <v>0.43399473517614517</v>
      </c>
      <c r="X39" s="146">
        <f t="shared" ref="X39:X42" si="48">IF(T39&gt;0,4*V39/(PI()*(U39)^2),"")</f>
        <v>0.72448217160423212</v>
      </c>
      <c r="Y39" s="113">
        <f>IF(T39&gt;0,(VLOOKUP($W39,Relaciones!$A$4:$D$108,2)),"")</f>
        <v>0.81</v>
      </c>
      <c r="Z39" s="146">
        <f t="shared" ref="Z39:Z42" si="49">IF(T39&gt;0,Y39*X39,"")</f>
        <v>0.58683055899942804</v>
      </c>
      <c r="AA39" s="146">
        <f t="shared" ref="AA39:AA42" si="50">IF(T39&gt;0,250*U39*J39,"")</f>
        <v>0.15859374999999742</v>
      </c>
      <c r="AB39" s="147" t="str">
        <f t="shared" ref="AB39:AB42" si="51">IF(T39&gt;0,IF(W39&lt;=$B$13,"OK","No Cumple"),"")</f>
        <v>OK</v>
      </c>
      <c r="AC39" s="147" t="str">
        <f t="shared" ref="AC39:AC42" si="52">IF(T39&gt;0,IF(Z39&gt;=$B$12,"OK","No Cumple"),"")</f>
        <v>OK</v>
      </c>
      <c r="AD39" s="147" t="str">
        <f t="shared" ref="AD39:AD42" si="53">IF(T39&gt;0,IF(AA39&gt;$B$14,"OK","No Cumple"),"")</f>
        <v>OK</v>
      </c>
      <c r="AE39" s="148">
        <f t="shared" ref="AE39:AG42" si="54">+IF(AB39="OK",1,0)</f>
        <v>1</v>
      </c>
      <c r="AF39" s="148">
        <f t="shared" si="54"/>
        <v>1</v>
      </c>
      <c r="AG39" s="148">
        <f t="shared" si="54"/>
        <v>1</v>
      </c>
      <c r="AH39" s="148">
        <f t="shared" ref="AH39:AH42" si="55">SUM(AE39:AG39)</f>
        <v>3</v>
      </c>
      <c r="AI39" s="147">
        <f t="shared" ref="AI39:AI42" si="56">IF(AH39=3,2*$B$7+U39,0)</f>
        <v>0.64500000000000002</v>
      </c>
      <c r="AJ39" s="149">
        <f>IF(AI39&gt;0,I39*VLOOKUP(T39,'$ alcantarillado'!$I$6:$K$22,3),0)</f>
        <v>1912173.3333333335</v>
      </c>
      <c r="AK39" s="149">
        <f t="shared" si="6"/>
        <v>2164104.0000000042</v>
      </c>
      <c r="AL39" s="149">
        <f t="shared" si="7"/>
        <v>1026032.070000002</v>
      </c>
      <c r="AM39" s="149">
        <f t="shared" si="22"/>
        <v>5102309.4033333398</v>
      </c>
      <c r="AN39" s="142">
        <v>0</v>
      </c>
      <c r="AO39" s="150">
        <f t="shared" si="8"/>
        <v>5102309.4033333398</v>
      </c>
      <c r="AP39" s="218"/>
      <c r="AQ39" s="142"/>
      <c r="AR39" s="165"/>
    </row>
    <row r="40" spans="1:44" x14ac:dyDescent="0.25">
      <c r="A40" s="230"/>
      <c r="B40" s="230"/>
      <c r="C40" s="230"/>
      <c r="D40" s="230"/>
      <c r="E40" s="151">
        <v>3</v>
      </c>
      <c r="F40" s="128">
        <f t="shared" si="24"/>
        <v>47.849999999999994</v>
      </c>
      <c r="G40" s="151">
        <v>4</v>
      </c>
      <c r="H40" s="128">
        <f t="shared" ref="H40:I41" si="57">+H39</f>
        <v>47.625</v>
      </c>
      <c r="I40" s="142">
        <f t="shared" si="57"/>
        <v>80</v>
      </c>
      <c r="J40" s="143">
        <f t="shared" si="9"/>
        <v>2.8124999999999288E-3</v>
      </c>
      <c r="K40" s="142">
        <f t="shared" ref="K40:K41" si="58">+K39</f>
        <v>158</v>
      </c>
      <c r="L40" s="128">
        <f t="shared" si="10"/>
        <v>5.1920402377148429</v>
      </c>
      <c r="M40" s="144">
        <f t="shared" si="11"/>
        <v>5.1920402377148428E-3</v>
      </c>
      <c r="N40" s="144">
        <f t="shared" si="0"/>
        <v>0.11518693207929813</v>
      </c>
      <c r="O40" s="144">
        <f t="shared" si="1"/>
        <v>4.5349185857991392</v>
      </c>
      <c r="P40" s="145">
        <f t="shared" si="12"/>
        <v>6</v>
      </c>
      <c r="Q40" s="113">
        <f>IF(O40&gt;0,VLOOKUP(P40,'$ alcantarillado'!$I$5:$L$22,4,FALSE),"0")</f>
        <v>0.14499999999999999</v>
      </c>
      <c r="R40" s="113">
        <f t="shared" si="2"/>
        <v>9.5920365584233041E-3</v>
      </c>
      <c r="S40" s="146">
        <f t="shared" si="3"/>
        <v>0.54128653556427719</v>
      </c>
      <c r="T40" s="145">
        <f>+IF(S40&gt;$B$13,VLOOKUP(P40,'$ alcantarillado'!$I$6:$N$22,5),P40)</f>
        <v>6</v>
      </c>
      <c r="U40" s="113">
        <f>IF(O40&gt;0,VLOOKUP(T40,'$ alcantarillado'!$I$5:$L$22,4),"0")</f>
        <v>0.14499999999999999</v>
      </c>
      <c r="V40" s="113">
        <f t="shared" si="4"/>
        <v>9.5920365584233041E-3</v>
      </c>
      <c r="W40" s="146">
        <f t="shared" si="5"/>
        <v>0.54128653556427719</v>
      </c>
      <c r="X40" s="146">
        <f t="shared" si="48"/>
        <v>0.58087801477906897</v>
      </c>
      <c r="Y40" s="113">
        <f>IF(T40&gt;0,(VLOOKUP($W40,Relaciones!$A$4:$D$108,2)),"")</f>
        <v>0.87</v>
      </c>
      <c r="Z40" s="146">
        <f t="shared" si="49"/>
        <v>0.50536387285779005</v>
      </c>
      <c r="AA40" s="146">
        <f t="shared" si="50"/>
        <v>0.10195312499999742</v>
      </c>
      <c r="AB40" s="147" t="str">
        <f t="shared" si="51"/>
        <v>OK</v>
      </c>
      <c r="AC40" s="147" t="str">
        <f t="shared" si="52"/>
        <v>OK</v>
      </c>
      <c r="AD40" s="147" t="str">
        <f t="shared" si="53"/>
        <v>No Cumple</v>
      </c>
      <c r="AE40" s="148">
        <f t="shared" si="54"/>
        <v>1</v>
      </c>
      <c r="AF40" s="148">
        <f t="shared" si="54"/>
        <v>1</v>
      </c>
      <c r="AG40" s="148">
        <f t="shared" si="54"/>
        <v>0</v>
      </c>
      <c r="AH40" s="148">
        <f t="shared" si="55"/>
        <v>2</v>
      </c>
      <c r="AI40" s="147">
        <f t="shared" si="56"/>
        <v>0</v>
      </c>
      <c r="AJ40" s="149">
        <f>IF(AI40&gt;0,I40*VLOOKUP(T40,'$ alcantarillado'!$I$6:$K$22,3),0)</f>
        <v>0</v>
      </c>
      <c r="AK40" s="149">
        <f t="shared" si="6"/>
        <v>0</v>
      </c>
      <c r="AL40" s="149">
        <f t="shared" si="7"/>
        <v>0</v>
      </c>
      <c r="AM40" s="149">
        <f t="shared" si="22"/>
        <v>0</v>
      </c>
      <c r="AN40" s="142">
        <v>0</v>
      </c>
      <c r="AO40" s="150" t="str">
        <f t="shared" si="8"/>
        <v/>
      </c>
      <c r="AP40" s="219"/>
      <c r="AQ40" s="142">
        <v>1</v>
      </c>
      <c r="AR40" s="165">
        <v>4</v>
      </c>
    </row>
    <row r="41" spans="1:44" x14ac:dyDescent="0.25">
      <c r="A41" s="230"/>
      <c r="B41" s="230"/>
      <c r="C41" s="230"/>
      <c r="D41" s="230"/>
      <c r="E41" s="151">
        <v>4</v>
      </c>
      <c r="F41" s="128">
        <f t="shared" si="24"/>
        <v>47.724999999999994</v>
      </c>
      <c r="G41" s="151">
        <v>4</v>
      </c>
      <c r="H41" s="128">
        <f t="shared" si="57"/>
        <v>47.625</v>
      </c>
      <c r="I41" s="142">
        <f t="shared" si="57"/>
        <v>80</v>
      </c>
      <c r="J41" s="143">
        <f>+(F41-H41)/I41</f>
        <v>1.2499999999999289E-3</v>
      </c>
      <c r="K41" s="142">
        <f t="shared" si="58"/>
        <v>158</v>
      </c>
      <c r="L41" s="128">
        <f t="shared" si="10"/>
        <v>5.1920402377148429</v>
      </c>
      <c r="M41" s="144">
        <f t="shared" si="11"/>
        <v>5.1920402377148428E-3</v>
      </c>
      <c r="N41" s="144">
        <f t="shared" si="0"/>
        <v>0.13410267267565754</v>
      </c>
      <c r="O41" s="144">
        <f t="shared" si="1"/>
        <v>5.2796327825062024</v>
      </c>
      <c r="P41" s="145">
        <f t="shared" si="12"/>
        <v>6</v>
      </c>
      <c r="Q41" s="113">
        <f>IF(O41&gt;0,VLOOKUP(P41,'$ alcantarillado'!$I$5:$L$22,4,FALSE),"0")</f>
        <v>0.14499999999999999</v>
      </c>
      <c r="R41" s="113">
        <f t="shared" si="2"/>
        <v>6.3946910389487679E-3</v>
      </c>
      <c r="S41" s="146">
        <f t="shared" si="3"/>
        <v>0.81192980334642872</v>
      </c>
      <c r="T41" s="145">
        <f>+IF(S41&gt;$B$13,VLOOKUP(P41,'$ alcantarillado'!$I$6:$N$22,5),P41)</f>
        <v>6</v>
      </c>
      <c r="U41" s="113">
        <f>IF(O41&gt;0,VLOOKUP(T41,'$ alcantarillado'!$I$5:$L$22,4),"0")</f>
        <v>0.14499999999999999</v>
      </c>
      <c r="V41" s="113">
        <f t="shared" si="4"/>
        <v>6.3946910389487679E-3</v>
      </c>
      <c r="W41" s="146">
        <f t="shared" si="5"/>
        <v>0.81192980334642872</v>
      </c>
      <c r="X41" s="146">
        <f t="shared" si="48"/>
        <v>0.38725200985270652</v>
      </c>
      <c r="Y41" s="113">
        <f>IF(T41&gt;0,(VLOOKUP($W41,Relaciones!$A$4:$D$108,2)),"")</f>
        <v>0.98699999999999999</v>
      </c>
      <c r="Z41" s="146">
        <f t="shared" si="49"/>
        <v>0.38221773372462131</v>
      </c>
      <c r="AA41" s="146">
        <f t="shared" si="50"/>
        <v>4.5312499999997424E-2</v>
      </c>
      <c r="AB41" s="147" t="str">
        <f t="shared" si="51"/>
        <v>OK</v>
      </c>
      <c r="AC41" s="147" t="str">
        <f t="shared" si="52"/>
        <v>No Cumple</v>
      </c>
      <c r="AD41" s="147" t="str">
        <f t="shared" si="53"/>
        <v>No Cumple</v>
      </c>
      <c r="AE41" s="148">
        <f t="shared" si="54"/>
        <v>1</v>
      </c>
      <c r="AF41" s="148">
        <f t="shared" si="54"/>
        <v>0</v>
      </c>
      <c r="AG41" s="148">
        <f t="shared" si="54"/>
        <v>0</v>
      </c>
      <c r="AH41" s="148">
        <f t="shared" si="55"/>
        <v>1</v>
      </c>
      <c r="AI41" s="147">
        <f t="shared" si="56"/>
        <v>0</v>
      </c>
      <c r="AJ41" s="149">
        <f>IF(AI41&gt;0,I41*VLOOKUP(T41,'$ alcantarillado'!$I$6:$K$22,3),0)</f>
        <v>0</v>
      </c>
      <c r="AK41" s="149">
        <f t="shared" si="6"/>
        <v>0</v>
      </c>
      <c r="AL41" s="149">
        <f t="shared" si="7"/>
        <v>0</v>
      </c>
      <c r="AM41" s="149">
        <f t="shared" si="22"/>
        <v>0</v>
      </c>
      <c r="AN41" s="142">
        <v>0</v>
      </c>
      <c r="AO41" s="150" t="str">
        <f t="shared" si="8"/>
        <v/>
      </c>
      <c r="AP41" s="219"/>
      <c r="AQ41" s="142"/>
      <c r="AR41" s="165"/>
    </row>
    <row r="42" spans="1:44" ht="15.75" thickBot="1" x14ac:dyDescent="0.3">
      <c r="A42" s="230"/>
      <c r="B42" s="230"/>
      <c r="C42" s="230"/>
      <c r="D42" s="230"/>
      <c r="E42" s="152">
        <v>5</v>
      </c>
      <c r="F42" s="153">
        <f t="shared" si="24"/>
        <v>47.599999999999994</v>
      </c>
      <c r="G42" s="152">
        <v>4</v>
      </c>
      <c r="H42" s="153">
        <f>+H41</f>
        <v>47.625</v>
      </c>
      <c r="I42" s="154">
        <f>+I41</f>
        <v>80</v>
      </c>
      <c r="J42" s="155">
        <f t="shared" si="9"/>
        <v>-3.1250000000007108E-4</v>
      </c>
      <c r="K42" s="154">
        <f>+K41</f>
        <v>158</v>
      </c>
      <c r="L42" s="153">
        <f t="shared" si="10"/>
        <v>5.1920402377148429</v>
      </c>
      <c r="M42" s="156">
        <f t="shared" si="11"/>
        <v>5.1920402377148428E-3</v>
      </c>
      <c r="N42" s="156">
        <f t="shared" si="0"/>
        <v>0</v>
      </c>
      <c r="O42" s="156">
        <f t="shared" si="1"/>
        <v>0</v>
      </c>
      <c r="P42" s="157">
        <f t="shared" si="12"/>
        <v>0</v>
      </c>
      <c r="Q42" s="113" t="str">
        <f>IF(O42&gt;0,VLOOKUP(P42,'$ alcantarillado'!$I$5:$L$22,4,FALSE),"0")</f>
        <v>0</v>
      </c>
      <c r="R42" s="160" t="str">
        <f t="shared" si="2"/>
        <v/>
      </c>
      <c r="S42" s="146">
        <f t="shared" si="3"/>
        <v>0</v>
      </c>
      <c r="T42" s="145">
        <f>+IF(S42&gt;$B$13,VLOOKUP(P42,'$ alcantarillado'!$I$6:$N$22,5),P42)</f>
        <v>0</v>
      </c>
      <c r="U42" s="113" t="str">
        <f>IF(O42&gt;0,VLOOKUP(T42,'$ alcantarillado'!$I$5:$L$22,4),"0")</f>
        <v>0</v>
      </c>
      <c r="V42" s="113" t="str">
        <f t="shared" si="4"/>
        <v/>
      </c>
      <c r="W42" s="146">
        <f t="shared" si="5"/>
        <v>0</v>
      </c>
      <c r="X42" s="146" t="str">
        <f t="shared" si="48"/>
        <v/>
      </c>
      <c r="Y42" s="113" t="str">
        <f>IF(T42&gt;0,(VLOOKUP($W42,Relaciones!$A$4:$D$108,2)),"")</f>
        <v/>
      </c>
      <c r="Z42" s="146" t="str">
        <f t="shared" si="49"/>
        <v/>
      </c>
      <c r="AA42" s="146" t="str">
        <f t="shared" si="50"/>
        <v/>
      </c>
      <c r="AB42" s="147" t="str">
        <f t="shared" si="51"/>
        <v/>
      </c>
      <c r="AC42" s="147" t="str">
        <f t="shared" si="52"/>
        <v/>
      </c>
      <c r="AD42" s="147" t="str">
        <f t="shared" si="53"/>
        <v/>
      </c>
      <c r="AE42" s="148">
        <f t="shared" si="54"/>
        <v>0</v>
      </c>
      <c r="AF42" s="148">
        <f t="shared" si="54"/>
        <v>0</v>
      </c>
      <c r="AG42" s="148">
        <f t="shared" si="54"/>
        <v>0</v>
      </c>
      <c r="AH42" s="148">
        <f t="shared" si="55"/>
        <v>0</v>
      </c>
      <c r="AI42" s="147">
        <f t="shared" si="56"/>
        <v>0</v>
      </c>
      <c r="AJ42" s="158">
        <f>IF(AI42&gt;0,I42*VLOOKUP(T42,'$ alcantarillado'!$I$6:$K$22,3),0)</f>
        <v>0</v>
      </c>
      <c r="AK42" s="158">
        <f t="shared" si="6"/>
        <v>0</v>
      </c>
      <c r="AL42" s="158">
        <f t="shared" si="7"/>
        <v>0</v>
      </c>
      <c r="AM42" s="158">
        <f t="shared" si="22"/>
        <v>0</v>
      </c>
      <c r="AN42" s="154">
        <v>0</v>
      </c>
      <c r="AO42" s="159" t="str">
        <f t="shared" si="8"/>
        <v/>
      </c>
      <c r="AP42" s="220"/>
      <c r="AQ42" s="154"/>
      <c r="AR42" s="166"/>
    </row>
    <row r="43" spans="1:44" x14ac:dyDescent="0.25">
      <c r="A43" s="230"/>
      <c r="B43" s="230"/>
      <c r="C43" s="230"/>
      <c r="D43" s="230"/>
      <c r="E43" s="127">
        <v>1</v>
      </c>
      <c r="F43" s="132">
        <f t="shared" si="24"/>
        <v>48.099999999999994</v>
      </c>
      <c r="G43" s="127">
        <v>5</v>
      </c>
      <c r="H43" s="132">
        <f>+H33-2*$B$15</f>
        <v>47.5</v>
      </c>
      <c r="I43" s="142">
        <f>+I38</f>
        <v>80</v>
      </c>
      <c r="J43" s="143">
        <f>+(F43-H43)/I43</f>
        <v>7.4999999999999286E-3</v>
      </c>
      <c r="K43" s="142">
        <f>+K38</f>
        <v>158</v>
      </c>
      <c r="L43" s="132">
        <f>IF(K43&lt;38,K43^0.3686*0.7401,IF(K43&lt;235,K43^0.4193*0.6215,IF(K43&lt;932,K43*0.0092+4.2493,K43*0.0069+6.7345)))</f>
        <v>5.1920402377148429</v>
      </c>
      <c r="M43" s="133">
        <f>+L43/1000</f>
        <v>5.1920402377148428E-3</v>
      </c>
      <c r="N43" s="133">
        <f t="shared" si="0"/>
        <v>9.58371905595157E-2</v>
      </c>
      <c r="O43" s="133">
        <f t="shared" si="1"/>
        <v>3.7731177385636103</v>
      </c>
      <c r="P43" s="134">
        <f t="shared" si="12"/>
        <v>6</v>
      </c>
      <c r="Q43" s="135">
        <f>IF(O43&gt;0,VLOOKUP(P43,'$ alcantarillado'!$I$5:$L$22,4,FALSE),"0")</f>
        <v>0.14499999999999999</v>
      </c>
      <c r="R43" s="135">
        <f t="shared" si="2"/>
        <v>1.5663730108172885E-2</v>
      </c>
      <c r="S43" s="136">
        <f t="shared" si="3"/>
        <v>0.33146895419283212</v>
      </c>
      <c r="T43" s="134">
        <f>+IF(S43&gt;$B$13,VLOOKUP(P43,'$ alcantarillado'!$I$6:$N$22,5),P43)</f>
        <v>6</v>
      </c>
      <c r="U43" s="135">
        <f>IF(O43&gt;0,VLOOKUP(T43,'$ alcantarillado'!$I$5:$L$22,4),"0")</f>
        <v>0.14499999999999999</v>
      </c>
      <c r="V43" s="135">
        <f t="shared" si="4"/>
        <v>1.5663730108172885E-2</v>
      </c>
      <c r="W43" s="136">
        <f t="shared" si="5"/>
        <v>0.33146895419283212</v>
      </c>
      <c r="X43" s="136">
        <f>IF(T43&gt;0,4*V43/(PI()*(U43)^2),"")</f>
        <v>0.9485698260063975</v>
      </c>
      <c r="Y43" s="135">
        <f>IF(T43&gt;0,(VLOOKUP($W43,Relaciones!$A$4:$D$108,2)),"")</f>
        <v>0.75</v>
      </c>
      <c r="Z43" s="136">
        <f>IF(T43&gt;0,Y43*X43,"")</f>
        <v>0.71142736950479812</v>
      </c>
      <c r="AA43" s="136">
        <f>IF(T43&gt;0,250*U43*J43,"")</f>
        <v>0.27187499999999742</v>
      </c>
      <c r="AB43" s="137" t="str">
        <f>IF(T43&gt;0,IF(W43&lt;=$B$13,"OK","No Cumple"),"")</f>
        <v>OK</v>
      </c>
      <c r="AC43" s="137" t="str">
        <f>IF(T43&gt;0,IF(Z43&gt;=$B$12,"OK","No Cumple"),"")</f>
        <v>OK</v>
      </c>
      <c r="AD43" s="137" t="str">
        <f>IF(T43&gt;0,IF(AA43&gt;$B$14,"OK","No Cumple"),"")</f>
        <v>OK</v>
      </c>
      <c r="AE43" s="138">
        <f>+IF(AB43="OK",1,0)</f>
        <v>1</v>
      </c>
      <c r="AF43" s="138">
        <f>+IF(AC43="OK",1,0)</f>
        <v>1</v>
      </c>
      <c r="AG43" s="138">
        <f>+IF(AD43="OK",1,0)</f>
        <v>1</v>
      </c>
      <c r="AH43" s="138">
        <f>SUM(AE43:AG43)</f>
        <v>3</v>
      </c>
      <c r="AI43" s="137">
        <f>IF(AH43=3,2*$B$7+U43,0)</f>
        <v>0.64500000000000002</v>
      </c>
      <c r="AJ43" s="139">
        <f>IF(AI43&gt;0,I43*VLOOKUP(T43,'$ alcantarillado'!$I$6:$K$22,3),0)</f>
        <v>1912173.3333333335</v>
      </c>
      <c r="AK43" s="139">
        <f t="shared" si="6"/>
        <v>2106054.0000000042</v>
      </c>
      <c r="AL43" s="139">
        <f t="shared" si="7"/>
        <v>938784.44500000204</v>
      </c>
      <c r="AM43" s="139">
        <f>IF(AJ43&gt;0,AJ43+AK43+AL43,0)</f>
        <v>4957011.7783333398</v>
      </c>
      <c r="AN43" s="129">
        <v>0</v>
      </c>
      <c r="AO43" s="140">
        <f t="shared" si="8"/>
        <v>4957011.7783333398</v>
      </c>
      <c r="AP43" s="232">
        <f>+MIN(AO43:AO47)</f>
        <v>4957011.7783333398</v>
      </c>
      <c r="AQ43" s="142"/>
      <c r="AR43" s="165"/>
    </row>
    <row r="44" spans="1:44" x14ac:dyDescent="0.25">
      <c r="A44" s="230"/>
      <c r="B44" s="230"/>
      <c r="C44" s="230"/>
      <c r="D44" s="230"/>
      <c r="E44" s="141">
        <v>2</v>
      </c>
      <c r="F44" s="128">
        <f t="shared" si="24"/>
        <v>47.974999999999994</v>
      </c>
      <c r="G44" s="141">
        <v>5</v>
      </c>
      <c r="H44" s="128">
        <f>+H43</f>
        <v>47.5</v>
      </c>
      <c r="I44" s="142">
        <f>+I43</f>
        <v>80</v>
      </c>
      <c r="J44" s="143">
        <f t="shared" si="9"/>
        <v>5.9374999999999289E-3</v>
      </c>
      <c r="K44" s="142">
        <f>+K43</f>
        <v>158</v>
      </c>
      <c r="L44" s="128">
        <f t="shared" si="10"/>
        <v>5.1920402377148429</v>
      </c>
      <c r="M44" s="144">
        <f t="shared" si="11"/>
        <v>5.1920402377148428E-3</v>
      </c>
      <c r="N44" s="144">
        <f t="shared" si="0"/>
        <v>0.10012842426186469</v>
      </c>
      <c r="O44" s="144">
        <f t="shared" si="1"/>
        <v>3.9420639473175076</v>
      </c>
      <c r="P44" s="145">
        <f t="shared" si="12"/>
        <v>6</v>
      </c>
      <c r="Q44" s="113">
        <f>IF(O44&gt;0,VLOOKUP(P44,'$ alcantarillado'!$I$5:$L$22,4,FALSE),"0")</f>
        <v>0.14499999999999999</v>
      </c>
      <c r="R44" s="113">
        <f t="shared" si="2"/>
        <v>1.3936906006971714E-2</v>
      </c>
      <c r="S44" s="146">
        <f t="shared" si="3"/>
        <v>0.37253894337219523</v>
      </c>
      <c r="T44" s="145">
        <f>+IF(S44&gt;$B$13,VLOOKUP(P44,'$ alcantarillado'!$I$6:$N$22,5),P44)</f>
        <v>6</v>
      </c>
      <c r="U44" s="113">
        <f>IF(O44&gt;0,VLOOKUP(T44,'$ alcantarillado'!$I$5:$L$22,4),"0")</f>
        <v>0.14499999999999999</v>
      </c>
      <c r="V44" s="113">
        <f t="shared" si="4"/>
        <v>1.3936906006971714E-2</v>
      </c>
      <c r="W44" s="146">
        <f t="shared" si="5"/>
        <v>0.37253894337219523</v>
      </c>
      <c r="X44" s="146">
        <f t="shared" ref="X44:X47" si="59">IF(T44&gt;0,4*V44/(PI()*(U44)^2),"")</f>
        <v>0.84399618831550161</v>
      </c>
      <c r="Y44" s="113">
        <f>IF(T44&gt;0,(VLOOKUP($W44,Relaciones!$A$4:$D$108,2)),"")</f>
        <v>0.77600000000000002</v>
      </c>
      <c r="Z44" s="146">
        <f t="shared" ref="Z44:Z47" si="60">IF(T44&gt;0,Y44*X44,"")</f>
        <v>0.65494104213282922</v>
      </c>
      <c r="AA44" s="146">
        <f t="shared" ref="AA44:AA47" si="61">IF(T44&gt;0,250*U44*J44,"")</f>
        <v>0.21523437499999742</v>
      </c>
      <c r="AB44" s="147" t="str">
        <f t="shared" ref="AB44:AB47" si="62">IF(T44&gt;0,IF(W44&lt;=$B$13,"OK","No Cumple"),"")</f>
        <v>OK</v>
      </c>
      <c r="AC44" s="147" t="str">
        <f t="shared" ref="AC44:AC47" si="63">IF(T44&gt;0,IF(Z44&gt;=$B$12,"OK","No Cumple"),"")</f>
        <v>OK</v>
      </c>
      <c r="AD44" s="147" t="str">
        <f t="shared" ref="AD44:AD47" si="64">IF(T44&gt;0,IF(AA44&gt;$B$14,"OK","No Cumple"),"")</f>
        <v>OK</v>
      </c>
      <c r="AE44" s="148">
        <f t="shared" ref="AE44:AG47" si="65">+IF(AB44="OK",1,0)</f>
        <v>1</v>
      </c>
      <c r="AF44" s="148">
        <f t="shared" si="65"/>
        <v>1</v>
      </c>
      <c r="AG44" s="148">
        <f t="shared" si="65"/>
        <v>1</v>
      </c>
      <c r="AH44" s="148">
        <f t="shared" ref="AH44:AH47" si="66">SUM(AE44:AG44)</f>
        <v>3</v>
      </c>
      <c r="AI44" s="147">
        <f t="shared" ref="AI44:AI47" si="67">IF(AH44=3,2*$B$7+U44,0)</f>
        <v>0.64500000000000002</v>
      </c>
      <c r="AJ44" s="149">
        <f>IF(AI44&gt;0,I44*VLOOKUP(T44,'$ alcantarillado'!$I$6:$K$22,3),0)</f>
        <v>1912173.3333333335</v>
      </c>
      <c r="AK44" s="149">
        <f t="shared" si="6"/>
        <v>2222154.0000000042</v>
      </c>
      <c r="AL44" s="149">
        <f t="shared" si="7"/>
        <v>1026032.070000002</v>
      </c>
      <c r="AM44" s="149">
        <f t="shared" si="22"/>
        <v>5160359.4033333398</v>
      </c>
      <c r="AN44" s="142">
        <v>0</v>
      </c>
      <c r="AO44" s="150">
        <f t="shared" si="8"/>
        <v>5160359.4033333398</v>
      </c>
      <c r="AP44" s="218"/>
      <c r="AQ44" s="142"/>
      <c r="AR44" s="165"/>
    </row>
    <row r="45" spans="1:44" x14ac:dyDescent="0.25">
      <c r="A45" s="230"/>
      <c r="B45" s="230"/>
      <c r="C45" s="230"/>
      <c r="D45" s="230"/>
      <c r="E45" s="151">
        <v>3</v>
      </c>
      <c r="F45" s="128">
        <f t="shared" si="24"/>
        <v>47.849999999999994</v>
      </c>
      <c r="G45" s="151">
        <v>5</v>
      </c>
      <c r="H45" s="128">
        <f t="shared" ref="H45:I46" si="68">+H44</f>
        <v>47.5</v>
      </c>
      <c r="I45" s="142">
        <f t="shared" si="68"/>
        <v>80</v>
      </c>
      <c r="J45" s="143">
        <f t="shared" si="9"/>
        <v>4.3749999999999293E-3</v>
      </c>
      <c r="K45" s="142">
        <f t="shared" ref="K45:K46" si="69">+K44</f>
        <v>158</v>
      </c>
      <c r="L45" s="128">
        <f t="shared" si="10"/>
        <v>5.1920402377148429</v>
      </c>
      <c r="M45" s="144">
        <f t="shared" si="11"/>
        <v>5.1920402377148428E-3</v>
      </c>
      <c r="N45" s="144">
        <f t="shared" si="0"/>
        <v>0.10602900237114536</v>
      </c>
      <c r="O45" s="144">
        <f t="shared" si="1"/>
        <v>4.1743701720923374</v>
      </c>
      <c r="P45" s="145">
        <f t="shared" si="12"/>
        <v>6</v>
      </c>
      <c r="Q45" s="113">
        <f>IF(O45&gt;0,VLOOKUP(P45,'$ alcantarillado'!$I$5:$L$22,4,FALSE),"0")</f>
        <v>0.14499999999999999</v>
      </c>
      <c r="R45" s="113">
        <f t="shared" si="2"/>
        <v>1.1963371481010138E-2</v>
      </c>
      <c r="S45" s="146">
        <f t="shared" si="3"/>
        <v>0.43399473517614517</v>
      </c>
      <c r="T45" s="145">
        <f>+IF(S45&gt;$B$13,VLOOKUP(P45,'$ alcantarillado'!$I$6:$N$22,5),P45)</f>
        <v>6</v>
      </c>
      <c r="U45" s="113">
        <f>IF(O45&gt;0,VLOOKUP(T45,'$ alcantarillado'!$I$5:$L$22,4),"0")</f>
        <v>0.14499999999999999</v>
      </c>
      <c r="V45" s="113">
        <f t="shared" si="4"/>
        <v>1.1963371481010138E-2</v>
      </c>
      <c r="W45" s="146">
        <f t="shared" si="5"/>
        <v>0.43399473517614517</v>
      </c>
      <c r="X45" s="146">
        <f t="shared" si="59"/>
        <v>0.72448217160423212</v>
      </c>
      <c r="Y45" s="113">
        <f>IF(T45&gt;0,(VLOOKUP($W45,Relaciones!$A$4:$D$108,2)),"")</f>
        <v>0.81</v>
      </c>
      <c r="Z45" s="146">
        <f t="shared" si="60"/>
        <v>0.58683055899942804</v>
      </c>
      <c r="AA45" s="146">
        <f t="shared" si="61"/>
        <v>0.15859374999999742</v>
      </c>
      <c r="AB45" s="147" t="str">
        <f t="shared" si="62"/>
        <v>OK</v>
      </c>
      <c r="AC45" s="147" t="str">
        <f t="shared" si="63"/>
        <v>OK</v>
      </c>
      <c r="AD45" s="147" t="str">
        <f t="shared" si="64"/>
        <v>OK</v>
      </c>
      <c r="AE45" s="148">
        <f t="shared" si="65"/>
        <v>1</v>
      </c>
      <c r="AF45" s="148">
        <f t="shared" si="65"/>
        <v>1</v>
      </c>
      <c r="AG45" s="148">
        <f t="shared" si="65"/>
        <v>1</v>
      </c>
      <c r="AH45" s="148">
        <f t="shared" si="66"/>
        <v>3</v>
      </c>
      <c r="AI45" s="147">
        <f t="shared" si="67"/>
        <v>0.64500000000000002</v>
      </c>
      <c r="AJ45" s="149">
        <f>IF(AI45&gt;0,I45*VLOOKUP(T45,'$ alcantarillado'!$I$6:$K$22,3),0)</f>
        <v>1912173.3333333335</v>
      </c>
      <c r="AK45" s="149">
        <f t="shared" si="6"/>
        <v>2338254.0000000047</v>
      </c>
      <c r="AL45" s="149">
        <f t="shared" si="7"/>
        <v>1113279.6950000019</v>
      </c>
      <c r="AM45" s="149">
        <f t="shared" si="22"/>
        <v>5363707.0283333398</v>
      </c>
      <c r="AN45" s="142">
        <v>0</v>
      </c>
      <c r="AO45" s="150">
        <f t="shared" si="8"/>
        <v>5363707.0283333398</v>
      </c>
      <c r="AP45" s="219"/>
      <c r="AQ45" s="142">
        <v>1</v>
      </c>
      <c r="AR45" s="165">
        <v>5</v>
      </c>
    </row>
    <row r="46" spans="1:44" x14ac:dyDescent="0.25">
      <c r="A46" s="230"/>
      <c r="B46" s="230"/>
      <c r="C46" s="230"/>
      <c r="D46" s="230"/>
      <c r="E46" s="151">
        <v>4</v>
      </c>
      <c r="F46" s="128">
        <f t="shared" si="24"/>
        <v>47.724999999999994</v>
      </c>
      <c r="G46" s="151">
        <v>5</v>
      </c>
      <c r="H46" s="128">
        <f t="shared" si="68"/>
        <v>47.5</v>
      </c>
      <c r="I46" s="142">
        <f t="shared" si="68"/>
        <v>80</v>
      </c>
      <c r="J46" s="143">
        <f>+(F46-H46)/I46</f>
        <v>2.8124999999999288E-3</v>
      </c>
      <c r="K46" s="142">
        <f t="shared" si="69"/>
        <v>158</v>
      </c>
      <c r="L46" s="128">
        <f t="shared" si="10"/>
        <v>5.1920402377148429</v>
      </c>
      <c r="M46" s="144">
        <f t="shared" si="11"/>
        <v>5.1920402377148428E-3</v>
      </c>
      <c r="N46" s="144">
        <f t="shared" si="0"/>
        <v>0.11518693207929813</v>
      </c>
      <c r="O46" s="144">
        <f t="shared" si="1"/>
        <v>4.5349185857991392</v>
      </c>
      <c r="P46" s="145">
        <f t="shared" si="12"/>
        <v>6</v>
      </c>
      <c r="Q46" s="113">
        <f>IF(O46&gt;0,VLOOKUP(P46,'$ alcantarillado'!$I$5:$L$22,4,FALSE),"0")</f>
        <v>0.14499999999999999</v>
      </c>
      <c r="R46" s="113">
        <f t="shared" si="2"/>
        <v>9.5920365584233041E-3</v>
      </c>
      <c r="S46" s="146">
        <f t="shared" si="3"/>
        <v>0.54128653556427719</v>
      </c>
      <c r="T46" s="145">
        <f>+IF(S46&gt;$B$13,VLOOKUP(P46,'$ alcantarillado'!$I$6:$N$22,5),P46)</f>
        <v>6</v>
      </c>
      <c r="U46" s="113">
        <f>IF(O46&gt;0,VLOOKUP(T46,'$ alcantarillado'!$I$5:$L$22,4),"0")</f>
        <v>0.14499999999999999</v>
      </c>
      <c r="V46" s="113">
        <f t="shared" si="4"/>
        <v>9.5920365584233041E-3</v>
      </c>
      <c r="W46" s="146">
        <f t="shared" si="5"/>
        <v>0.54128653556427719</v>
      </c>
      <c r="X46" s="146">
        <f t="shared" si="59"/>
        <v>0.58087801477906897</v>
      </c>
      <c r="Y46" s="113">
        <f>IF(T46&gt;0,(VLOOKUP($W46,Relaciones!$A$4:$D$108,2)),"")</f>
        <v>0.87</v>
      </c>
      <c r="Z46" s="146">
        <f t="shared" si="60"/>
        <v>0.50536387285779005</v>
      </c>
      <c r="AA46" s="146">
        <f t="shared" si="61"/>
        <v>0.10195312499999742</v>
      </c>
      <c r="AB46" s="147" t="str">
        <f t="shared" si="62"/>
        <v>OK</v>
      </c>
      <c r="AC46" s="147" t="str">
        <f t="shared" si="63"/>
        <v>OK</v>
      </c>
      <c r="AD46" s="147" t="str">
        <f t="shared" si="64"/>
        <v>No Cumple</v>
      </c>
      <c r="AE46" s="148">
        <f t="shared" si="65"/>
        <v>1</v>
      </c>
      <c r="AF46" s="148">
        <f t="shared" si="65"/>
        <v>1</v>
      </c>
      <c r="AG46" s="148">
        <f t="shared" si="65"/>
        <v>0</v>
      </c>
      <c r="AH46" s="148">
        <f t="shared" si="66"/>
        <v>2</v>
      </c>
      <c r="AI46" s="147">
        <f t="shared" si="67"/>
        <v>0</v>
      </c>
      <c r="AJ46" s="149">
        <f>IF(AI46&gt;0,I46*VLOOKUP(T46,'$ alcantarillado'!$I$6:$K$22,3),0)</f>
        <v>0</v>
      </c>
      <c r="AK46" s="149">
        <f t="shared" si="6"/>
        <v>0</v>
      </c>
      <c r="AL46" s="149">
        <f t="shared" si="7"/>
        <v>0</v>
      </c>
      <c r="AM46" s="149">
        <f t="shared" si="22"/>
        <v>0</v>
      </c>
      <c r="AN46" s="142">
        <v>0</v>
      </c>
      <c r="AO46" s="150" t="str">
        <f t="shared" si="8"/>
        <v/>
      </c>
      <c r="AP46" s="219"/>
      <c r="AQ46" s="142"/>
      <c r="AR46" s="165"/>
    </row>
    <row r="47" spans="1:44" ht="15.75" thickBot="1" x14ac:dyDescent="0.3">
      <c r="A47" s="231"/>
      <c r="B47" s="231"/>
      <c r="C47" s="231"/>
      <c r="D47" s="231"/>
      <c r="E47" s="152">
        <v>5</v>
      </c>
      <c r="F47" s="153">
        <f t="shared" si="24"/>
        <v>47.599999999999994</v>
      </c>
      <c r="G47" s="152">
        <v>5</v>
      </c>
      <c r="H47" s="153">
        <f>+H46</f>
        <v>47.5</v>
      </c>
      <c r="I47" s="154">
        <f>+I46</f>
        <v>80</v>
      </c>
      <c r="J47" s="155">
        <f t="shared" si="9"/>
        <v>1.2499999999999289E-3</v>
      </c>
      <c r="K47" s="154">
        <f>+K46</f>
        <v>158</v>
      </c>
      <c r="L47" s="153">
        <f t="shared" si="10"/>
        <v>5.1920402377148429</v>
      </c>
      <c r="M47" s="156">
        <f t="shared" si="11"/>
        <v>5.1920402377148428E-3</v>
      </c>
      <c r="N47" s="156">
        <f t="shared" si="0"/>
        <v>0.13410267267565754</v>
      </c>
      <c r="O47" s="156">
        <f t="shared" si="1"/>
        <v>5.2796327825062024</v>
      </c>
      <c r="P47" s="157">
        <f t="shared" si="12"/>
        <v>6</v>
      </c>
      <c r="Q47" s="113">
        <f>IF(O47&gt;0,VLOOKUP(P47,'$ alcantarillado'!$I$5:$L$22,4,FALSE),"0")</f>
        <v>0.14499999999999999</v>
      </c>
      <c r="R47" s="160">
        <f t="shared" si="2"/>
        <v>6.3946910389487679E-3</v>
      </c>
      <c r="S47" s="146">
        <f t="shared" si="3"/>
        <v>0.81192980334642872</v>
      </c>
      <c r="T47" s="145">
        <f>+IF(S47&gt;$B$13,VLOOKUP(P47,'$ alcantarillado'!$I$6:$N$22,5),P47)</f>
        <v>6</v>
      </c>
      <c r="U47" s="113">
        <f>IF(O47&gt;0,VLOOKUP(T47,'$ alcantarillado'!$I$5:$L$22,4),"0")</f>
        <v>0.14499999999999999</v>
      </c>
      <c r="V47" s="113">
        <f t="shared" si="4"/>
        <v>6.3946910389487679E-3</v>
      </c>
      <c r="W47" s="146">
        <f t="shared" si="5"/>
        <v>0.81192980334642872</v>
      </c>
      <c r="X47" s="146">
        <f t="shared" si="59"/>
        <v>0.38725200985270652</v>
      </c>
      <c r="Y47" s="113">
        <f>IF(T47&gt;0,(VLOOKUP($W47,Relaciones!$A$4:$D$108,2)),"")</f>
        <v>0.98699999999999999</v>
      </c>
      <c r="Z47" s="146">
        <f t="shared" si="60"/>
        <v>0.38221773372462131</v>
      </c>
      <c r="AA47" s="146">
        <f t="shared" si="61"/>
        <v>4.5312499999997424E-2</v>
      </c>
      <c r="AB47" s="147" t="str">
        <f t="shared" si="62"/>
        <v>OK</v>
      </c>
      <c r="AC47" s="147" t="str">
        <f t="shared" si="63"/>
        <v>No Cumple</v>
      </c>
      <c r="AD47" s="147" t="str">
        <f t="shared" si="64"/>
        <v>No Cumple</v>
      </c>
      <c r="AE47" s="148">
        <f t="shared" si="65"/>
        <v>1</v>
      </c>
      <c r="AF47" s="148">
        <f t="shared" si="65"/>
        <v>0</v>
      </c>
      <c r="AG47" s="148">
        <f t="shared" si="65"/>
        <v>0</v>
      </c>
      <c r="AH47" s="148">
        <f t="shared" si="66"/>
        <v>1</v>
      </c>
      <c r="AI47" s="147">
        <f t="shared" si="67"/>
        <v>0</v>
      </c>
      <c r="AJ47" s="158">
        <f>IF(AI47&gt;0,I47*VLOOKUP(T47,'$ alcantarillado'!$I$6:$K$22,3),0)</f>
        <v>0</v>
      </c>
      <c r="AK47" s="158">
        <f t="shared" si="6"/>
        <v>0</v>
      </c>
      <c r="AL47" s="158">
        <f t="shared" si="7"/>
        <v>0</v>
      </c>
      <c r="AM47" s="158">
        <f t="shared" si="22"/>
        <v>0</v>
      </c>
      <c r="AN47" s="154">
        <v>0</v>
      </c>
      <c r="AO47" s="159" t="str">
        <f t="shared" si="8"/>
        <v/>
      </c>
      <c r="AP47" s="220"/>
      <c r="AQ47" s="142"/>
      <c r="AR47" s="165"/>
    </row>
    <row r="48" spans="1:44" x14ac:dyDescent="0.25">
      <c r="A48" s="210">
        <v>2</v>
      </c>
      <c r="B48" s="210">
        <v>2</v>
      </c>
      <c r="C48" s="210">
        <v>5</v>
      </c>
      <c r="D48" s="210">
        <v>49.2</v>
      </c>
      <c r="E48" s="4">
        <v>1</v>
      </c>
      <c r="F48" s="7">
        <f>+H23</f>
        <v>48</v>
      </c>
      <c r="G48" s="4">
        <v>1</v>
      </c>
      <c r="H48" s="64">
        <f>+H58+2*$B$15</f>
        <v>47.39</v>
      </c>
      <c r="I48" s="7">
        <v>80</v>
      </c>
      <c r="J48" s="17">
        <f>+(F48-H48)/I48</f>
        <v>7.6249999999999929E-3</v>
      </c>
      <c r="K48" s="7">
        <f>+K23</f>
        <v>158</v>
      </c>
      <c r="L48" s="14">
        <f>IF(K48&lt;38,K48^0.3686*0.7401,IF(K48&lt;235,K48^0.4193*0.6215,IF(K48&lt;932,K48*0.0092+4.2493,K48*0.0069+6.7345)))</f>
        <v>5.1920402377148429</v>
      </c>
      <c r="M48" s="31">
        <f>+L48/1000</f>
        <v>5.1920402377148428E-3</v>
      </c>
      <c r="N48" s="31">
        <f t="shared" si="0"/>
        <v>9.5540627508621162E-2</v>
      </c>
      <c r="O48" s="31">
        <f t="shared" si="1"/>
        <v>3.7614420278984713</v>
      </c>
      <c r="P48" s="57">
        <f t="shared" si="12"/>
        <v>6</v>
      </c>
      <c r="Q48" s="60">
        <f>IF(O48&gt;0,VLOOKUP(P48,'$ alcantarillado'!$I$5:$L$22,4,FALSE),"0")</f>
        <v>0.14499999999999999</v>
      </c>
      <c r="R48" s="60">
        <f t="shared" si="2"/>
        <v>1.5793721798551638E-2</v>
      </c>
      <c r="S48" s="27">
        <f t="shared" si="3"/>
        <v>0.32874076825837079</v>
      </c>
      <c r="T48" s="57">
        <f>+IF(S48&gt;$B$13,VLOOKUP(P48,'$ alcantarillado'!$I$6:$N$22,5),P48)</f>
        <v>6</v>
      </c>
      <c r="U48" s="60">
        <f>IF(O48&gt;0,VLOOKUP(T48,'$ alcantarillado'!$I$5:$L$22,4),"0")</f>
        <v>0.14499999999999999</v>
      </c>
      <c r="V48" s="60">
        <f t="shared" si="4"/>
        <v>1.5793721798551638E-2</v>
      </c>
      <c r="W48" s="27">
        <f t="shared" si="5"/>
        <v>0.32874076825837079</v>
      </c>
      <c r="X48" s="27">
        <f>IF(T48&gt;0,4*V48/(PI()*(U48)^2),"")</f>
        <v>0.95644190974847587</v>
      </c>
      <c r="Y48" s="60">
        <f>IF(T48&gt;0,(VLOOKUP($W48,Relaciones!$A$4:$D$108,2)),"")</f>
        <v>0.74</v>
      </c>
      <c r="Z48" s="27">
        <f>IF(T48&gt;0,Y48*X48,"")</f>
        <v>0.70776701321387214</v>
      </c>
      <c r="AA48" s="27">
        <f>IF(T48&gt;0,250*U48*J48,"")</f>
        <v>0.27640624999999974</v>
      </c>
      <c r="AB48" s="45" t="str">
        <f>IF(T48&gt;0,IF(W48&lt;=$B$13,"OK","No Cumple"),"")</f>
        <v>OK</v>
      </c>
      <c r="AC48" s="45" t="str">
        <f>IF(T48&gt;0,IF(Z48&gt;=$B$12,"OK","No Cumple"),"")</f>
        <v>OK</v>
      </c>
      <c r="AD48" s="45" t="str">
        <f>IF(T48&gt;0,IF(AA48&gt;$B$14,"OK","No Cumple"),"")</f>
        <v>OK</v>
      </c>
      <c r="AE48" s="32">
        <f>+IF(AB48="OK",1,0)</f>
        <v>1</v>
      </c>
      <c r="AF48" s="32">
        <f>+IF(AC48="OK",1,0)</f>
        <v>1</v>
      </c>
      <c r="AG48" s="32">
        <f>+IF(AD48="OK",1,0)</f>
        <v>1</v>
      </c>
      <c r="AH48" s="32">
        <f>SUM(AE48:AG48)</f>
        <v>3</v>
      </c>
      <c r="AI48" s="45">
        <f>IF(AH48=3,2*$B$7+U48,0)</f>
        <v>0.64500000000000002</v>
      </c>
      <c r="AJ48" s="21">
        <f>IF(AI48&gt;0,I48*VLOOKUP(T48,'$ alcantarillado'!$I$6:$K$22,3),0)</f>
        <v>1912173.3333333335</v>
      </c>
      <c r="AK48" s="21">
        <f t="shared" ref="AK48:AK72" si="70">IF(N48&gt;0,((($D$48-F48)+(U48))+(($D$73-H48)+(U48))/2)*AI48*I48*$C$9,0)</f>
        <v>2106054.0000000042</v>
      </c>
      <c r="AL48" s="21">
        <f t="shared" ref="AL48:AL72" si="71">IF(AI48&gt;0,(($D$48-F48)+U48)*$C$10,0)</f>
        <v>938784.44500000204</v>
      </c>
      <c r="AM48" s="21">
        <f>IF(AJ48&gt;0,AJ48+AK48+AL48,0)</f>
        <v>4957011.7783333398</v>
      </c>
      <c r="AN48" s="50">
        <f>+AP23</f>
        <v>0</v>
      </c>
      <c r="AO48" s="77" t="str">
        <f>IF((AM48)&gt;0,IF(AN48&gt;0,AM48+AN48,""),"")</f>
        <v/>
      </c>
      <c r="AP48" s="213">
        <f>+MIN(AO48:AO52)</f>
        <v>10204618.80666668</v>
      </c>
      <c r="AQ48" s="7"/>
      <c r="AR48" s="8"/>
    </row>
    <row r="49" spans="1:44" x14ac:dyDescent="0.25">
      <c r="A49" s="211"/>
      <c r="B49" s="211"/>
      <c r="C49" s="211"/>
      <c r="D49" s="211"/>
      <c r="E49" s="5">
        <v>2</v>
      </c>
      <c r="F49" s="2">
        <f>+H28</f>
        <v>47.875</v>
      </c>
      <c r="G49" s="5">
        <v>1</v>
      </c>
      <c r="H49" s="35">
        <f>+H48</f>
        <v>47.39</v>
      </c>
      <c r="I49" s="2">
        <f>+I48</f>
        <v>80</v>
      </c>
      <c r="J49" s="18">
        <f t="shared" si="9"/>
        <v>6.0624999999999932E-3</v>
      </c>
      <c r="K49" s="2">
        <f>+K48</f>
        <v>158</v>
      </c>
      <c r="L49" s="15">
        <f t="shared" si="10"/>
        <v>5.1920402377148429</v>
      </c>
      <c r="M49" s="33">
        <f t="shared" ref="M49:M52" si="72">+L49/1000</f>
        <v>5.1920402377148428E-3</v>
      </c>
      <c r="N49" s="33">
        <f t="shared" si="0"/>
        <v>9.9738046437711433E-2</v>
      </c>
      <c r="O49" s="33">
        <f t="shared" si="1"/>
        <v>3.9266947416421827</v>
      </c>
      <c r="P49" s="58">
        <f t="shared" si="12"/>
        <v>6</v>
      </c>
      <c r="Q49" s="55">
        <f>IF(O49&gt;0,VLOOKUP(P49,'$ alcantarillado'!$I$5:$L$22,4,FALSE),"0")</f>
        <v>0.14499999999999999</v>
      </c>
      <c r="R49" s="55">
        <f t="shared" si="2"/>
        <v>1.4082846175241982E-2</v>
      </c>
      <c r="S49" s="35">
        <f t="shared" si="3"/>
        <v>0.36867833200099759</v>
      </c>
      <c r="T49" s="58">
        <f>+IF(S49&gt;$B$13,VLOOKUP(P49,'$ alcantarillado'!$I$6:$N$22,5),P49)</f>
        <v>6</v>
      </c>
      <c r="U49" s="55">
        <f>IF(O49&gt;0,VLOOKUP(T49,'$ alcantarillado'!$I$5:$L$22,4),"0")</f>
        <v>0.14499999999999999</v>
      </c>
      <c r="V49" s="55">
        <f t="shared" si="4"/>
        <v>1.4082846175241982E-2</v>
      </c>
      <c r="W49" s="35">
        <f t="shared" si="5"/>
        <v>0.36867833200099759</v>
      </c>
      <c r="X49" s="35">
        <f t="shared" ref="X49:X52" si="73">IF(T49&gt;0,4*V49/(PI()*(U49)^2),"")</f>
        <v>0.8528340857427078</v>
      </c>
      <c r="Y49" s="55">
        <f>IF(T49&gt;0,(VLOOKUP($W49,Relaciones!$A$4:$D$108,2)),"")</f>
        <v>0.76800000000000002</v>
      </c>
      <c r="Z49" s="35">
        <f t="shared" ref="Z49:Z52" si="74">IF(T49&gt;0,Y49*X49,"")</f>
        <v>0.65497657785039964</v>
      </c>
      <c r="AA49" s="35">
        <f t="shared" ref="AA49:AA52" si="75">IF(T49&gt;0,250*U49*J49,"")</f>
        <v>0.21976562499999974</v>
      </c>
      <c r="AB49" s="46" t="str">
        <f t="shared" ref="AB49:AB52" si="76">IF(T49&gt;0,IF(W49&lt;=$B$13,"OK","No Cumple"),"")</f>
        <v>OK</v>
      </c>
      <c r="AC49" s="46" t="str">
        <f t="shared" ref="AC49:AC52" si="77">IF(T49&gt;0,IF(Z49&gt;=$B$12,"OK","No Cumple"),"")</f>
        <v>OK</v>
      </c>
      <c r="AD49" s="46" t="str">
        <f t="shared" ref="AD49:AD52" si="78">IF(T49&gt;0,IF(AA49&gt;$B$14,"OK","No Cumple"),"")</f>
        <v>OK</v>
      </c>
      <c r="AE49" s="48">
        <f t="shared" ref="AE49:AG52" si="79">+IF(AB49="OK",1,0)</f>
        <v>1</v>
      </c>
      <c r="AF49" s="48">
        <f t="shared" si="79"/>
        <v>1</v>
      </c>
      <c r="AG49" s="48">
        <f t="shared" si="79"/>
        <v>1</v>
      </c>
      <c r="AH49" s="48">
        <f t="shared" ref="AH49:AH52" si="80">SUM(AE49:AG49)</f>
        <v>3</v>
      </c>
      <c r="AI49" s="46">
        <f t="shared" ref="AI49:AI52" si="81">IF(AH49=3,2*$B$7+U49,0)</f>
        <v>0.64500000000000002</v>
      </c>
      <c r="AJ49" s="20">
        <f>IF(AI49&gt;0,I49*VLOOKUP(T49,'$ alcantarillado'!$I$6:$K$22,3),0)</f>
        <v>1912173.3333333335</v>
      </c>
      <c r="AK49" s="20">
        <f t="shared" si="70"/>
        <v>2222154.0000000042</v>
      </c>
      <c r="AL49" s="20">
        <f t="shared" si="71"/>
        <v>1026032.070000002</v>
      </c>
      <c r="AM49" s="20">
        <f t="shared" si="22"/>
        <v>5160359.4033333398</v>
      </c>
      <c r="AN49" s="50">
        <f>+AP28</f>
        <v>0</v>
      </c>
      <c r="AO49" s="78" t="str">
        <f t="shared" ref="AO49:AO114" si="82">IF((AM49)&gt;0,IF(AN49&gt;0,AM49+AN49,""),"")</f>
        <v/>
      </c>
      <c r="AP49" s="214"/>
      <c r="AQ49" s="2">
        <v>3</v>
      </c>
      <c r="AR49" s="9">
        <v>1</v>
      </c>
    </row>
    <row r="50" spans="1:44" x14ac:dyDescent="0.25">
      <c r="A50" s="211"/>
      <c r="B50" s="211"/>
      <c r="C50" s="211"/>
      <c r="D50" s="211"/>
      <c r="E50" s="56">
        <v>3</v>
      </c>
      <c r="F50" s="2">
        <f>+H33</f>
        <v>47.75</v>
      </c>
      <c r="G50" s="56">
        <v>1</v>
      </c>
      <c r="H50" s="2">
        <f t="shared" ref="H50:I51" si="83">+H49</f>
        <v>47.39</v>
      </c>
      <c r="I50" s="2">
        <f t="shared" si="83"/>
        <v>80</v>
      </c>
      <c r="J50" s="18">
        <f t="shared" si="9"/>
        <v>4.4999999999999927E-3</v>
      </c>
      <c r="K50" s="2">
        <f t="shared" ref="K50:K51" si="84">+K49</f>
        <v>158</v>
      </c>
      <c r="L50" s="15">
        <f t="shared" si="10"/>
        <v>5.1920402377148429</v>
      </c>
      <c r="M50" s="33">
        <f t="shared" si="72"/>
        <v>5.1920402377148428E-3</v>
      </c>
      <c r="N50" s="33">
        <f t="shared" si="0"/>
        <v>0.1054704295004068</v>
      </c>
      <c r="O50" s="33">
        <f t="shared" si="1"/>
        <v>4.1523791141892445</v>
      </c>
      <c r="P50" s="58">
        <f t="shared" si="12"/>
        <v>6</v>
      </c>
      <c r="Q50" s="55">
        <f>IF(O50&gt;0,VLOOKUP(P50,'$ alcantarillado'!$I$5:$L$22,4,FALSE),"0")</f>
        <v>0.14499999999999999</v>
      </c>
      <c r="R50" s="55">
        <f t="shared" si="2"/>
        <v>1.2133073169688305E-2</v>
      </c>
      <c r="S50" s="35">
        <f t="shared" si="3"/>
        <v>0.42792457979120757</v>
      </c>
      <c r="T50" s="58">
        <f>+IF(S50&gt;$B$13,VLOOKUP(P50,'$ alcantarillado'!$I$6:$N$22,5),P50)</f>
        <v>6</v>
      </c>
      <c r="U50" s="55">
        <f>IF(O50&gt;0,VLOOKUP(T50,'$ alcantarillado'!$I$5:$L$22,4),"0")</f>
        <v>0.14499999999999999</v>
      </c>
      <c r="V50" s="55">
        <f t="shared" si="4"/>
        <v>1.2133073169688305E-2</v>
      </c>
      <c r="W50" s="35">
        <f t="shared" si="5"/>
        <v>0.42792457979120757</v>
      </c>
      <c r="X50" s="35">
        <f t="shared" si="73"/>
        <v>0.73475902776753177</v>
      </c>
      <c r="Y50" s="55">
        <f>IF(T50&gt;0,(VLOOKUP($W50,Relaciones!$A$4:$D$108,2)),"")</f>
        <v>0.80600000000000005</v>
      </c>
      <c r="Z50" s="35">
        <f t="shared" si="74"/>
        <v>0.59221577638063061</v>
      </c>
      <c r="AA50" s="35">
        <f t="shared" si="75"/>
        <v>0.16312499999999974</v>
      </c>
      <c r="AB50" s="46" t="str">
        <f t="shared" si="76"/>
        <v>OK</v>
      </c>
      <c r="AC50" s="46" t="str">
        <f t="shared" si="77"/>
        <v>OK</v>
      </c>
      <c r="AD50" s="46" t="str">
        <f t="shared" si="78"/>
        <v>OK</v>
      </c>
      <c r="AE50" s="48">
        <f t="shared" si="79"/>
        <v>1</v>
      </c>
      <c r="AF50" s="48">
        <f t="shared" si="79"/>
        <v>1</v>
      </c>
      <c r="AG50" s="48">
        <f t="shared" si="79"/>
        <v>1</v>
      </c>
      <c r="AH50" s="48">
        <f t="shared" si="80"/>
        <v>3</v>
      </c>
      <c r="AI50" s="46">
        <f t="shared" si="81"/>
        <v>0.64500000000000002</v>
      </c>
      <c r="AJ50" s="20">
        <f>IF(AI50&gt;0,I50*VLOOKUP(T50,'$ alcantarillado'!$I$6:$K$22,3),0)</f>
        <v>1912173.3333333335</v>
      </c>
      <c r="AK50" s="20">
        <f t="shared" si="70"/>
        <v>2338254.0000000047</v>
      </c>
      <c r="AL50" s="20">
        <f t="shared" si="71"/>
        <v>1113279.6950000019</v>
      </c>
      <c r="AM50" s="20">
        <f t="shared" si="22"/>
        <v>5363707.0283333398</v>
      </c>
      <c r="AN50" s="50">
        <f>+AP33</f>
        <v>4840911.7783333398</v>
      </c>
      <c r="AO50" s="78">
        <f t="shared" si="82"/>
        <v>10204618.80666668</v>
      </c>
      <c r="AP50" s="215"/>
      <c r="AQ50" s="2"/>
      <c r="AR50" s="9"/>
    </row>
    <row r="51" spans="1:44" x14ac:dyDescent="0.25">
      <c r="A51" s="211"/>
      <c r="B51" s="211"/>
      <c r="C51" s="211"/>
      <c r="D51" s="211"/>
      <c r="E51" s="56">
        <v>4</v>
      </c>
      <c r="F51" s="2">
        <f>+H38</f>
        <v>47.625</v>
      </c>
      <c r="G51" s="56">
        <v>1</v>
      </c>
      <c r="H51" s="2">
        <f t="shared" si="83"/>
        <v>47.39</v>
      </c>
      <c r="I51" s="2">
        <f t="shared" si="83"/>
        <v>80</v>
      </c>
      <c r="J51" s="18">
        <f>+(F51-H51)/I51</f>
        <v>2.9374999999999931E-3</v>
      </c>
      <c r="K51" s="2">
        <f t="shared" si="84"/>
        <v>158</v>
      </c>
      <c r="L51" s="15">
        <f t="shared" si="10"/>
        <v>5.1920402377148429</v>
      </c>
      <c r="M51" s="33">
        <f t="shared" si="72"/>
        <v>5.1920402377148428E-3</v>
      </c>
      <c r="N51" s="33">
        <f t="shared" si="0"/>
        <v>0.11425157857489923</v>
      </c>
      <c r="O51" s="33">
        <f t="shared" si="1"/>
        <v>4.498093644681072</v>
      </c>
      <c r="P51" s="58">
        <f t="shared" si="12"/>
        <v>6</v>
      </c>
      <c r="Q51" s="55">
        <f>IF(O51&gt;0,VLOOKUP(P51,'$ alcantarillado'!$I$5:$L$22,4,FALSE),"0")</f>
        <v>0.14499999999999999</v>
      </c>
      <c r="R51" s="55">
        <f t="shared" si="2"/>
        <v>9.8028757355427456E-3</v>
      </c>
      <c r="S51" s="35">
        <f t="shared" si="3"/>
        <v>0.52964460407162151</v>
      </c>
      <c r="T51" s="58">
        <f>+IF(S51&gt;$B$13,VLOOKUP(P51,'$ alcantarillado'!$I$6:$N$22,5),P51)</f>
        <v>6</v>
      </c>
      <c r="U51" s="55">
        <f>IF(O51&gt;0,VLOOKUP(T51,'$ alcantarillado'!$I$5:$L$22,4),"0")</f>
        <v>0.14499999999999999</v>
      </c>
      <c r="V51" s="55">
        <f t="shared" si="4"/>
        <v>9.8028757355427456E-3</v>
      </c>
      <c r="W51" s="35">
        <f t="shared" si="5"/>
        <v>0.52964460407162151</v>
      </c>
      <c r="X51" s="35">
        <f t="shared" si="73"/>
        <v>0.59364608982724476</v>
      </c>
      <c r="Y51" s="55">
        <f>IF(T51&gt;0,(VLOOKUP($W51,Relaciones!$A$4:$D$108,2)),"")</f>
        <v>0.86</v>
      </c>
      <c r="Z51" s="35">
        <f t="shared" si="74"/>
        <v>0.51053563725143047</v>
      </c>
      <c r="AA51" s="35">
        <f t="shared" si="75"/>
        <v>0.10648437499999974</v>
      </c>
      <c r="AB51" s="46" t="str">
        <f t="shared" si="76"/>
        <v>OK</v>
      </c>
      <c r="AC51" s="46" t="str">
        <f t="shared" si="77"/>
        <v>OK</v>
      </c>
      <c r="AD51" s="46" t="str">
        <f t="shared" si="78"/>
        <v>No Cumple</v>
      </c>
      <c r="AE51" s="48">
        <f t="shared" si="79"/>
        <v>1</v>
      </c>
      <c r="AF51" s="48">
        <f t="shared" si="79"/>
        <v>1</v>
      </c>
      <c r="AG51" s="48">
        <f t="shared" si="79"/>
        <v>0</v>
      </c>
      <c r="AH51" s="48">
        <f t="shared" si="80"/>
        <v>2</v>
      </c>
      <c r="AI51" s="46">
        <f t="shared" si="81"/>
        <v>0</v>
      </c>
      <c r="AJ51" s="20">
        <f>IF(AI51&gt;0,I51*VLOOKUP(T51,'$ alcantarillado'!$I$6:$K$22,3),0)</f>
        <v>0</v>
      </c>
      <c r="AK51" s="20">
        <f t="shared" si="70"/>
        <v>0</v>
      </c>
      <c r="AL51" s="20">
        <f t="shared" si="71"/>
        <v>0</v>
      </c>
      <c r="AM51" s="20">
        <f t="shared" si="22"/>
        <v>0</v>
      </c>
      <c r="AN51" s="50">
        <f>+AP38</f>
        <v>4898961.7783333398</v>
      </c>
      <c r="AO51" s="78" t="str">
        <f t="shared" si="82"/>
        <v/>
      </c>
      <c r="AP51" s="215"/>
      <c r="AQ51" s="2"/>
      <c r="AR51" s="9"/>
    </row>
    <row r="52" spans="1:44" ht="15.75" thickBot="1" x14ac:dyDescent="0.3">
      <c r="A52" s="211"/>
      <c r="B52" s="211"/>
      <c r="C52" s="211"/>
      <c r="D52" s="211"/>
      <c r="E52" s="6">
        <v>5</v>
      </c>
      <c r="F52" s="65">
        <f>+H43</f>
        <v>47.5</v>
      </c>
      <c r="G52" s="6">
        <v>1</v>
      </c>
      <c r="H52" s="10">
        <f>+H51</f>
        <v>47.39</v>
      </c>
      <c r="I52" s="10">
        <f>+I51</f>
        <v>80</v>
      </c>
      <c r="J52" s="19">
        <f t="shared" si="9"/>
        <v>1.374999999999993E-3</v>
      </c>
      <c r="K52" s="10">
        <f>+K51</f>
        <v>158</v>
      </c>
      <c r="L52" s="16">
        <f t="shared" si="10"/>
        <v>5.1920402377148429</v>
      </c>
      <c r="M52" s="34">
        <f t="shared" si="72"/>
        <v>5.1920402377148428E-3</v>
      </c>
      <c r="N52" s="34">
        <f t="shared" si="0"/>
        <v>0.1317274561340005</v>
      </c>
      <c r="O52" s="34">
        <f t="shared" si="1"/>
        <v>5.18612032023624</v>
      </c>
      <c r="P52" s="59">
        <f t="shared" si="12"/>
        <v>6</v>
      </c>
      <c r="Q52" s="55">
        <f>IF(O52&gt;0,VLOOKUP(P52,'$ alcantarillado'!$I$5:$L$22,4,FALSE),"0")</f>
        <v>0.14499999999999999</v>
      </c>
      <c r="R52" s="55">
        <f t="shared" si="2"/>
        <v>6.7068085429640217E-3</v>
      </c>
      <c r="S52" s="35">
        <f t="shared" si="3"/>
        <v>0.77414469258433027</v>
      </c>
      <c r="T52" s="58">
        <f>+IF(S52&gt;$B$13,VLOOKUP(P52,'$ alcantarillado'!$I$6:$N$22,5),P52)</f>
        <v>6</v>
      </c>
      <c r="U52" s="55">
        <f>IF(O52&gt;0,VLOOKUP(T52,'$ alcantarillado'!$I$5:$L$22,4),"0")</f>
        <v>0.14499999999999999</v>
      </c>
      <c r="V52" s="55">
        <f t="shared" si="4"/>
        <v>6.7068085429640217E-3</v>
      </c>
      <c r="W52" s="35">
        <f t="shared" si="5"/>
        <v>0.77414469258433027</v>
      </c>
      <c r="X52" s="35">
        <f t="shared" si="73"/>
        <v>0.4061533344052039</v>
      </c>
      <c r="Y52" s="55">
        <f>IF(T52&gt;0,(VLOOKUP($W52,Relaciones!$A$4:$D$108,2)),"")</f>
        <v>0.97199999999999998</v>
      </c>
      <c r="Z52" s="35">
        <f t="shared" si="74"/>
        <v>0.39478104104185818</v>
      </c>
      <c r="AA52" s="35">
        <f t="shared" si="75"/>
        <v>4.9843749999999742E-2</v>
      </c>
      <c r="AB52" s="46" t="str">
        <f t="shared" si="76"/>
        <v>OK</v>
      </c>
      <c r="AC52" s="46" t="str">
        <f t="shared" si="77"/>
        <v>No Cumple</v>
      </c>
      <c r="AD52" s="46" t="str">
        <f t="shared" si="78"/>
        <v>No Cumple</v>
      </c>
      <c r="AE52" s="48">
        <f t="shared" si="79"/>
        <v>1</v>
      </c>
      <c r="AF52" s="48">
        <f t="shared" si="79"/>
        <v>0</v>
      </c>
      <c r="AG52" s="48">
        <f t="shared" si="79"/>
        <v>0</v>
      </c>
      <c r="AH52" s="48">
        <f t="shared" si="80"/>
        <v>1</v>
      </c>
      <c r="AI52" s="46">
        <f t="shared" si="81"/>
        <v>0</v>
      </c>
      <c r="AJ52" s="22">
        <f>IF(AI52&gt;0,I52*VLOOKUP(T52,'$ alcantarillado'!$I$6:$K$22,3),0)</f>
        <v>0</v>
      </c>
      <c r="AK52" s="20">
        <f t="shared" si="70"/>
        <v>0</v>
      </c>
      <c r="AL52" s="20">
        <f t="shared" si="71"/>
        <v>0</v>
      </c>
      <c r="AM52" s="22">
        <f t="shared" si="22"/>
        <v>0</v>
      </c>
      <c r="AN52" s="50">
        <f>+AP43</f>
        <v>4957011.7783333398</v>
      </c>
      <c r="AO52" s="79" t="str">
        <f t="shared" si="82"/>
        <v/>
      </c>
      <c r="AP52" s="216"/>
      <c r="AQ52" s="10"/>
      <c r="AR52" s="11"/>
    </row>
    <row r="53" spans="1:44" x14ac:dyDescent="0.25">
      <c r="A53" s="211"/>
      <c r="B53" s="211"/>
      <c r="C53" s="211"/>
      <c r="D53" s="211"/>
      <c r="E53" s="4">
        <v>1</v>
      </c>
      <c r="F53" s="7">
        <f>+H23</f>
        <v>48</v>
      </c>
      <c r="G53" s="4">
        <v>2</v>
      </c>
      <c r="H53" s="35">
        <f>+H58+$B$15</f>
        <v>47.265000000000001</v>
      </c>
      <c r="I53" s="2">
        <f>+I52</f>
        <v>80</v>
      </c>
      <c r="J53" s="18">
        <f>+(F53-H53)/I53</f>
        <v>9.1874999999999925E-3</v>
      </c>
      <c r="K53" s="2">
        <f>+K52</f>
        <v>158</v>
      </c>
      <c r="L53" s="14">
        <f>IF(K53&lt;38,K53^0.3686*0.7401,IF(K53&lt;235,K53^0.4193*0.6215,IF(K53&lt;932,K53*0.0092+4.2493,K53*0.0069+6.7345)))</f>
        <v>5.1920402377148429</v>
      </c>
      <c r="M53" s="31">
        <f>+L53/1000</f>
        <v>5.1920402377148428E-3</v>
      </c>
      <c r="N53" s="31">
        <f t="shared" si="0"/>
        <v>9.2258960576735272E-2</v>
      </c>
      <c r="O53" s="31">
        <f t="shared" si="1"/>
        <v>3.6322425423911526</v>
      </c>
      <c r="P53" s="57">
        <f t="shared" si="12"/>
        <v>6</v>
      </c>
      <c r="Q53" s="60">
        <f>IF(O53&gt;0,VLOOKUP(P53,'$ alcantarillado'!$I$5:$L$22,4,FALSE),"0")</f>
        <v>0.14499999999999999</v>
      </c>
      <c r="R53" s="60">
        <f t="shared" si="2"/>
        <v>1.7336572328593754E-2</v>
      </c>
      <c r="S53" s="27">
        <f t="shared" si="3"/>
        <v>0.29948481968096125</v>
      </c>
      <c r="T53" s="57">
        <f>+IF(S53&gt;$B$13,VLOOKUP(P53,'$ alcantarillado'!$I$6:$N$22,5),P53)</f>
        <v>6</v>
      </c>
      <c r="U53" s="60">
        <f>IF(O53&gt;0,VLOOKUP(T53,'$ alcantarillado'!$I$5:$L$22,4),"0")</f>
        <v>0.14499999999999999</v>
      </c>
      <c r="V53" s="60">
        <f t="shared" si="4"/>
        <v>1.7336572328593754E-2</v>
      </c>
      <c r="W53" s="27">
        <f t="shared" si="5"/>
        <v>0.29948481968096125</v>
      </c>
      <c r="X53" s="27">
        <f>IF(T53&gt;0,4*V53/(PI()*(U53)^2),"")</f>
        <v>1.0498744094614476</v>
      </c>
      <c r="Y53" s="60">
        <f>IF(T53&gt;0,(VLOOKUP($W53,Relaciones!$A$4:$D$108,2)),"")</f>
        <v>0.72</v>
      </c>
      <c r="Z53" s="27">
        <f>IF(T53&gt;0,Y53*X53,"")</f>
        <v>0.7559095748122423</v>
      </c>
      <c r="AA53" s="27">
        <f>IF(T53&gt;0,250*U53*J53,"")</f>
        <v>0.33304687499999974</v>
      </c>
      <c r="AB53" s="45" t="str">
        <f>IF(T53&gt;0,IF(W53&lt;=$B$13,"OK","No Cumple"),"")</f>
        <v>OK</v>
      </c>
      <c r="AC53" s="45" t="str">
        <f>IF(T53&gt;0,IF(Z53&gt;=$B$12,"OK","No Cumple"),"")</f>
        <v>OK</v>
      </c>
      <c r="AD53" s="45" t="str">
        <f>IF(T53&gt;0,IF(AA53&gt;$B$14,"OK","No Cumple"),"")</f>
        <v>OK</v>
      </c>
      <c r="AE53" s="32">
        <f>+IF(AB53="OK",1,0)</f>
        <v>1</v>
      </c>
      <c r="AF53" s="32">
        <f>+IF(AC53="OK",1,0)</f>
        <v>1</v>
      </c>
      <c r="AG53" s="32">
        <f>+IF(AD53="OK",1,0)</f>
        <v>1</v>
      </c>
      <c r="AH53" s="32">
        <f>SUM(AE53:AG53)</f>
        <v>3</v>
      </c>
      <c r="AI53" s="45">
        <f>IF(AH53=3,2*$B$7+U53,0)</f>
        <v>0.64500000000000002</v>
      </c>
      <c r="AJ53" s="21">
        <f>IF(AI53&gt;0,I53*VLOOKUP(T53,'$ alcantarillado'!$I$6:$K$22,3),0)</f>
        <v>1912173.3333333335</v>
      </c>
      <c r="AK53" s="21">
        <f t="shared" si="70"/>
        <v>2164104.0000000042</v>
      </c>
      <c r="AL53" s="21">
        <f t="shared" si="71"/>
        <v>938784.44500000204</v>
      </c>
      <c r="AM53" s="21">
        <f>IF(AJ53&gt;0,AJ53+AK53+AL53,0)</f>
        <v>5015061.7783333398</v>
      </c>
      <c r="AN53" s="49">
        <f>IF(AP23&gt;0,+AP23,0)</f>
        <v>0</v>
      </c>
      <c r="AO53" s="67" t="str">
        <f>IF((AM53)&gt;0,IF(AN53&gt;0,AM53+AN53,""),"")</f>
        <v/>
      </c>
      <c r="AP53" s="221">
        <f>+MIN(AO53:AO57)</f>
        <v>10262668.80666668</v>
      </c>
      <c r="AQ53" s="2"/>
      <c r="AR53" s="9"/>
    </row>
    <row r="54" spans="1:44" x14ac:dyDescent="0.25">
      <c r="A54" s="211"/>
      <c r="B54" s="211"/>
      <c r="C54" s="211"/>
      <c r="D54" s="211"/>
      <c r="E54" s="5">
        <v>2</v>
      </c>
      <c r="F54" s="2">
        <f>+H28</f>
        <v>47.875</v>
      </c>
      <c r="G54" s="5">
        <v>2</v>
      </c>
      <c r="H54" s="35">
        <f>+H53</f>
        <v>47.265000000000001</v>
      </c>
      <c r="I54" s="2">
        <f>+I53</f>
        <v>80</v>
      </c>
      <c r="J54" s="18">
        <f t="shared" si="9"/>
        <v>7.6249999999999929E-3</v>
      </c>
      <c r="K54" s="2">
        <f>+K53</f>
        <v>158</v>
      </c>
      <c r="L54" s="15">
        <f t="shared" si="10"/>
        <v>5.1920402377148429</v>
      </c>
      <c r="M54" s="33">
        <f t="shared" ref="M54:M57" si="85">+L54/1000</f>
        <v>5.1920402377148428E-3</v>
      </c>
      <c r="N54" s="33">
        <f t="shared" si="0"/>
        <v>9.5540627508621162E-2</v>
      </c>
      <c r="O54" s="33">
        <f t="shared" si="1"/>
        <v>3.7614420278984713</v>
      </c>
      <c r="P54" s="58">
        <f t="shared" si="12"/>
        <v>6</v>
      </c>
      <c r="Q54" s="55">
        <f>IF(O54&gt;0,VLOOKUP(P54,'$ alcantarillado'!$I$5:$L$22,4,FALSE),"0")</f>
        <v>0.14499999999999999</v>
      </c>
      <c r="R54" s="55">
        <f t="shared" si="2"/>
        <v>1.5793721798551638E-2</v>
      </c>
      <c r="S54" s="35">
        <f t="shared" si="3"/>
        <v>0.32874076825837079</v>
      </c>
      <c r="T54" s="58">
        <f>+IF(S54&gt;$B$13,VLOOKUP(P54,'$ alcantarillado'!$I$6:$N$22,5),P54)</f>
        <v>6</v>
      </c>
      <c r="U54" s="55">
        <f>IF(O54&gt;0,VLOOKUP(T54,'$ alcantarillado'!$I$5:$L$22,4),"0")</f>
        <v>0.14499999999999999</v>
      </c>
      <c r="V54" s="55">
        <f t="shared" si="4"/>
        <v>1.5793721798551638E-2</v>
      </c>
      <c r="W54" s="35">
        <f t="shared" si="5"/>
        <v>0.32874076825837079</v>
      </c>
      <c r="X54" s="35">
        <f t="shared" ref="X54:X57" si="86">IF(T54&gt;0,4*V54/(PI()*(U54)^2),"")</f>
        <v>0.95644190974847587</v>
      </c>
      <c r="Y54" s="55">
        <f>IF(T54&gt;0,(VLOOKUP($W54,Relaciones!$A$4:$D$108,2)),"")</f>
        <v>0.74</v>
      </c>
      <c r="Z54" s="35">
        <f t="shared" ref="Z54:Z57" si="87">IF(T54&gt;0,Y54*X54,"")</f>
        <v>0.70776701321387214</v>
      </c>
      <c r="AA54" s="35">
        <f t="shared" ref="AA54:AA57" si="88">IF(T54&gt;0,250*U54*J54,"")</f>
        <v>0.27640624999999974</v>
      </c>
      <c r="AB54" s="46" t="str">
        <f t="shared" ref="AB54:AB57" si="89">IF(T54&gt;0,IF(W54&lt;=$B$13,"OK","No Cumple"),"")</f>
        <v>OK</v>
      </c>
      <c r="AC54" s="46" t="str">
        <f t="shared" ref="AC54:AC57" si="90">IF(T54&gt;0,IF(Z54&gt;=$B$12,"OK","No Cumple"),"")</f>
        <v>OK</v>
      </c>
      <c r="AD54" s="46" t="str">
        <f t="shared" ref="AD54:AD57" si="91">IF(T54&gt;0,IF(AA54&gt;$B$14,"OK","No Cumple"),"")</f>
        <v>OK</v>
      </c>
      <c r="AE54" s="48">
        <f t="shared" ref="AE54:AG57" si="92">+IF(AB54="OK",1,0)</f>
        <v>1</v>
      </c>
      <c r="AF54" s="48">
        <f t="shared" si="92"/>
        <v>1</v>
      </c>
      <c r="AG54" s="48">
        <f t="shared" si="92"/>
        <v>1</v>
      </c>
      <c r="AH54" s="48">
        <f t="shared" ref="AH54:AH57" si="93">SUM(AE54:AG54)</f>
        <v>3</v>
      </c>
      <c r="AI54" s="46">
        <f t="shared" ref="AI54:AI57" si="94">IF(AH54=3,2*$B$7+U54,0)</f>
        <v>0.64500000000000002</v>
      </c>
      <c r="AJ54" s="20">
        <f>IF(AI54&gt;0,I54*VLOOKUP(T54,'$ alcantarillado'!$I$6:$K$22,3),0)</f>
        <v>1912173.3333333335</v>
      </c>
      <c r="AK54" s="20">
        <f t="shared" si="70"/>
        <v>2280204.0000000042</v>
      </c>
      <c r="AL54" s="20">
        <f t="shared" si="71"/>
        <v>1026032.070000002</v>
      </c>
      <c r="AM54" s="20">
        <f t="shared" si="22"/>
        <v>5218409.4033333398</v>
      </c>
      <c r="AN54" s="50">
        <f>+AP28</f>
        <v>0</v>
      </c>
      <c r="AO54" s="78" t="str">
        <f t="shared" si="82"/>
        <v/>
      </c>
      <c r="AP54" s="222"/>
      <c r="AQ54" s="2">
        <v>3</v>
      </c>
      <c r="AR54" s="9">
        <v>2</v>
      </c>
    </row>
    <row r="55" spans="1:44" x14ac:dyDescent="0.25">
      <c r="A55" s="211"/>
      <c r="B55" s="211"/>
      <c r="C55" s="211"/>
      <c r="D55" s="211"/>
      <c r="E55" s="56">
        <v>3</v>
      </c>
      <c r="F55" s="2">
        <f>+H33</f>
        <v>47.75</v>
      </c>
      <c r="G55" s="56">
        <v>2</v>
      </c>
      <c r="H55" s="35">
        <f t="shared" ref="H55:I56" si="95">+H54</f>
        <v>47.265000000000001</v>
      </c>
      <c r="I55" s="2">
        <f t="shared" si="95"/>
        <v>80</v>
      </c>
      <c r="J55" s="18">
        <f t="shared" si="9"/>
        <v>6.0624999999999932E-3</v>
      </c>
      <c r="K55" s="2">
        <f t="shared" ref="K55:K56" si="96">+K54</f>
        <v>158</v>
      </c>
      <c r="L55" s="15">
        <f t="shared" si="10"/>
        <v>5.1920402377148429</v>
      </c>
      <c r="M55" s="33">
        <f t="shared" si="85"/>
        <v>5.1920402377148428E-3</v>
      </c>
      <c r="N55" s="33">
        <f t="shared" si="0"/>
        <v>9.9738046437711433E-2</v>
      </c>
      <c r="O55" s="33">
        <f t="shared" si="1"/>
        <v>3.9266947416421827</v>
      </c>
      <c r="P55" s="58">
        <f t="shared" si="12"/>
        <v>6</v>
      </c>
      <c r="Q55" s="55">
        <f>IF(O55&gt;0,VLOOKUP(P55,'$ alcantarillado'!$I$5:$L$22,4,FALSE),"0")</f>
        <v>0.14499999999999999</v>
      </c>
      <c r="R55" s="55">
        <f t="shared" si="2"/>
        <v>1.4082846175241982E-2</v>
      </c>
      <c r="S55" s="35">
        <f t="shared" si="3"/>
        <v>0.36867833200099759</v>
      </c>
      <c r="T55" s="58">
        <f>+IF(S55&gt;$B$13,VLOOKUP(P55,'$ alcantarillado'!$I$6:$N$22,5),P55)</f>
        <v>6</v>
      </c>
      <c r="U55" s="55">
        <f>IF(O55&gt;0,VLOOKUP(T55,'$ alcantarillado'!$I$5:$L$22,4),"0")</f>
        <v>0.14499999999999999</v>
      </c>
      <c r="V55" s="55">
        <f t="shared" si="4"/>
        <v>1.4082846175241982E-2</v>
      </c>
      <c r="W55" s="35">
        <f t="shared" ref="W55:W86" si="97">IF(T55&gt;0,M55/V55,0)</f>
        <v>0.36867833200099759</v>
      </c>
      <c r="X55" s="35">
        <f t="shared" si="86"/>
        <v>0.8528340857427078</v>
      </c>
      <c r="Y55" s="55">
        <f>IF(T55&gt;0,(VLOOKUP($W55,Relaciones!$A$4:$D$108,2)),"")</f>
        <v>0.76800000000000002</v>
      </c>
      <c r="Z55" s="35">
        <f t="shared" si="87"/>
        <v>0.65497657785039964</v>
      </c>
      <c r="AA55" s="35">
        <f t="shared" si="88"/>
        <v>0.21976562499999974</v>
      </c>
      <c r="AB55" s="46" t="str">
        <f t="shared" si="89"/>
        <v>OK</v>
      </c>
      <c r="AC55" s="46" t="str">
        <f t="shared" si="90"/>
        <v>OK</v>
      </c>
      <c r="AD55" s="46" t="str">
        <f t="shared" si="91"/>
        <v>OK</v>
      </c>
      <c r="AE55" s="48">
        <f t="shared" si="92"/>
        <v>1</v>
      </c>
      <c r="AF55" s="48">
        <f t="shared" si="92"/>
        <v>1</v>
      </c>
      <c r="AG55" s="48">
        <f t="shared" si="92"/>
        <v>1</v>
      </c>
      <c r="AH55" s="48">
        <f t="shared" si="93"/>
        <v>3</v>
      </c>
      <c r="AI55" s="46">
        <f t="shared" si="94"/>
        <v>0.64500000000000002</v>
      </c>
      <c r="AJ55" s="20">
        <f>IF(AI55&gt;0,I55*VLOOKUP(T55,'$ alcantarillado'!$I$6:$K$22,3),0)</f>
        <v>1912173.3333333335</v>
      </c>
      <c r="AK55" s="20">
        <f t="shared" si="70"/>
        <v>2396304.0000000042</v>
      </c>
      <c r="AL55" s="20">
        <f t="shared" si="71"/>
        <v>1113279.6950000019</v>
      </c>
      <c r="AM55" s="20">
        <f t="shared" si="22"/>
        <v>5421757.0283333398</v>
      </c>
      <c r="AN55" s="50">
        <f>+AP33</f>
        <v>4840911.7783333398</v>
      </c>
      <c r="AO55" s="78">
        <f t="shared" si="82"/>
        <v>10262668.80666668</v>
      </c>
      <c r="AP55" s="223"/>
      <c r="AQ55" s="2"/>
      <c r="AR55" s="9"/>
    </row>
    <row r="56" spans="1:44" x14ac:dyDescent="0.25">
      <c r="A56" s="211"/>
      <c r="B56" s="211"/>
      <c r="C56" s="211"/>
      <c r="D56" s="211"/>
      <c r="E56" s="56">
        <v>4</v>
      </c>
      <c r="F56" s="2">
        <f>+H38</f>
        <v>47.625</v>
      </c>
      <c r="G56" s="56">
        <v>2</v>
      </c>
      <c r="H56" s="35">
        <f t="shared" si="95"/>
        <v>47.265000000000001</v>
      </c>
      <c r="I56" s="2">
        <f t="shared" si="95"/>
        <v>80</v>
      </c>
      <c r="J56" s="18">
        <f>+(F56-H56)/I56</f>
        <v>4.4999999999999927E-3</v>
      </c>
      <c r="K56" s="2">
        <f t="shared" si="96"/>
        <v>158</v>
      </c>
      <c r="L56" s="15">
        <f t="shared" si="10"/>
        <v>5.1920402377148429</v>
      </c>
      <c r="M56" s="33">
        <f t="shared" si="85"/>
        <v>5.1920402377148428E-3</v>
      </c>
      <c r="N56" s="33">
        <f t="shared" si="0"/>
        <v>0.1054704295004068</v>
      </c>
      <c r="O56" s="33">
        <f t="shared" si="1"/>
        <v>4.1523791141892445</v>
      </c>
      <c r="P56" s="58">
        <f t="shared" si="12"/>
        <v>6</v>
      </c>
      <c r="Q56" s="55">
        <f>IF(O56&gt;0,VLOOKUP(P56,'$ alcantarillado'!$I$5:$L$22,4,FALSE),"0")</f>
        <v>0.14499999999999999</v>
      </c>
      <c r="R56" s="55">
        <f t="shared" si="2"/>
        <v>1.2133073169688305E-2</v>
      </c>
      <c r="S56" s="35">
        <f t="shared" si="3"/>
        <v>0.42792457979120757</v>
      </c>
      <c r="T56" s="58">
        <f>+IF(S56&gt;$B$13,VLOOKUP(P56,'$ alcantarillado'!$I$6:$N$22,5),P56)</f>
        <v>6</v>
      </c>
      <c r="U56" s="55">
        <f>IF(O56&gt;0,VLOOKUP(T56,'$ alcantarillado'!$I$5:$L$22,4),"0")</f>
        <v>0.14499999999999999</v>
      </c>
      <c r="V56" s="55">
        <f t="shared" si="4"/>
        <v>1.2133073169688305E-2</v>
      </c>
      <c r="W56" s="35">
        <f t="shared" si="97"/>
        <v>0.42792457979120757</v>
      </c>
      <c r="X56" s="35">
        <f t="shared" si="86"/>
        <v>0.73475902776753177</v>
      </c>
      <c r="Y56" s="55">
        <f>IF(T56&gt;0,(VLOOKUP($W56,Relaciones!$A$4:$D$108,2)),"")</f>
        <v>0.80600000000000005</v>
      </c>
      <c r="Z56" s="35">
        <f t="shared" si="87"/>
        <v>0.59221577638063061</v>
      </c>
      <c r="AA56" s="35">
        <f t="shared" si="88"/>
        <v>0.16312499999999974</v>
      </c>
      <c r="AB56" s="46" t="str">
        <f t="shared" si="89"/>
        <v>OK</v>
      </c>
      <c r="AC56" s="46" t="str">
        <f t="shared" si="90"/>
        <v>OK</v>
      </c>
      <c r="AD56" s="46" t="str">
        <f t="shared" si="91"/>
        <v>OK</v>
      </c>
      <c r="AE56" s="48">
        <f t="shared" si="92"/>
        <v>1</v>
      </c>
      <c r="AF56" s="48">
        <f t="shared" si="92"/>
        <v>1</v>
      </c>
      <c r="AG56" s="48">
        <f t="shared" si="92"/>
        <v>1</v>
      </c>
      <c r="AH56" s="48">
        <f t="shared" si="93"/>
        <v>3</v>
      </c>
      <c r="AI56" s="46">
        <f t="shared" si="94"/>
        <v>0.64500000000000002</v>
      </c>
      <c r="AJ56" s="20">
        <f>IF(AI56&gt;0,I56*VLOOKUP(T56,'$ alcantarillado'!$I$6:$K$22,3),0)</f>
        <v>1912173.3333333335</v>
      </c>
      <c r="AK56" s="20">
        <f t="shared" si="70"/>
        <v>2512404.0000000042</v>
      </c>
      <c r="AL56" s="20">
        <f t="shared" si="71"/>
        <v>1200527.3200000019</v>
      </c>
      <c r="AM56" s="20">
        <f t="shared" si="22"/>
        <v>5625104.6533333398</v>
      </c>
      <c r="AN56" s="50">
        <f>+AP38</f>
        <v>4898961.7783333398</v>
      </c>
      <c r="AO56" s="78">
        <f t="shared" si="82"/>
        <v>10524066.43166668</v>
      </c>
      <c r="AP56" s="223"/>
      <c r="AQ56" s="2"/>
      <c r="AR56" s="9"/>
    </row>
    <row r="57" spans="1:44" ht="15.75" thickBot="1" x14ac:dyDescent="0.3">
      <c r="A57" s="211"/>
      <c r="B57" s="211"/>
      <c r="C57" s="211"/>
      <c r="D57" s="211"/>
      <c r="E57" s="6">
        <v>5</v>
      </c>
      <c r="F57" s="16">
        <f>+H43</f>
        <v>47.5</v>
      </c>
      <c r="G57" s="6">
        <v>2</v>
      </c>
      <c r="H57" s="65">
        <f>+H56</f>
        <v>47.265000000000001</v>
      </c>
      <c r="I57" s="10">
        <f>+I56</f>
        <v>80</v>
      </c>
      <c r="J57" s="19">
        <f t="shared" si="9"/>
        <v>2.9374999999999931E-3</v>
      </c>
      <c r="K57" s="10">
        <f>+K56</f>
        <v>158</v>
      </c>
      <c r="L57" s="16">
        <f t="shared" si="10"/>
        <v>5.1920402377148429</v>
      </c>
      <c r="M57" s="34">
        <f t="shared" si="85"/>
        <v>5.1920402377148428E-3</v>
      </c>
      <c r="N57" s="34">
        <f t="shared" si="0"/>
        <v>0.11425157857489923</v>
      </c>
      <c r="O57" s="34">
        <f t="shared" si="1"/>
        <v>4.498093644681072</v>
      </c>
      <c r="P57" s="59">
        <f t="shared" si="12"/>
        <v>6</v>
      </c>
      <c r="Q57" s="55">
        <f>IF(O57&gt;0,VLOOKUP(P57,'$ alcantarillado'!$I$5:$L$22,4,FALSE),"0")</f>
        <v>0.14499999999999999</v>
      </c>
      <c r="R57" s="47">
        <f t="shared" si="2"/>
        <v>9.8028757355427456E-3</v>
      </c>
      <c r="S57" s="35">
        <f t="shared" si="3"/>
        <v>0.52964460407162151</v>
      </c>
      <c r="T57" s="58">
        <f>+IF(S57&gt;$B$13,VLOOKUP(P57,'$ alcantarillado'!$I$6:$N$22,5),P57)</f>
        <v>6</v>
      </c>
      <c r="U57" s="55">
        <f>IF(O57&gt;0,VLOOKUP(T57,'$ alcantarillado'!$I$5:$L$22,4),"0")</f>
        <v>0.14499999999999999</v>
      </c>
      <c r="V57" s="55">
        <f t="shared" si="4"/>
        <v>9.8028757355427456E-3</v>
      </c>
      <c r="W57" s="35">
        <f t="shared" si="97"/>
        <v>0.52964460407162151</v>
      </c>
      <c r="X57" s="35">
        <f t="shared" si="86"/>
        <v>0.59364608982724476</v>
      </c>
      <c r="Y57" s="55">
        <f>IF(T57&gt;0,(VLOOKUP($W57,Relaciones!$A$4:$D$108,2)),"")</f>
        <v>0.86</v>
      </c>
      <c r="Z57" s="35">
        <f t="shared" si="87"/>
        <v>0.51053563725143047</v>
      </c>
      <c r="AA57" s="35">
        <f t="shared" si="88"/>
        <v>0.10648437499999974</v>
      </c>
      <c r="AB57" s="46" t="str">
        <f t="shared" si="89"/>
        <v>OK</v>
      </c>
      <c r="AC57" s="46" t="str">
        <f t="shared" si="90"/>
        <v>OK</v>
      </c>
      <c r="AD57" s="46" t="str">
        <f t="shared" si="91"/>
        <v>No Cumple</v>
      </c>
      <c r="AE57" s="48">
        <f t="shared" si="92"/>
        <v>1</v>
      </c>
      <c r="AF57" s="48">
        <f t="shared" si="92"/>
        <v>1</v>
      </c>
      <c r="AG57" s="48">
        <f t="shared" si="92"/>
        <v>0</v>
      </c>
      <c r="AH57" s="48">
        <f t="shared" si="93"/>
        <v>2</v>
      </c>
      <c r="AI57" s="46">
        <f t="shared" si="94"/>
        <v>0</v>
      </c>
      <c r="AJ57" s="22">
        <f>IF(AI57&gt;0,I57*VLOOKUP(T57,'$ alcantarillado'!$I$6:$K$22,3),0)</f>
        <v>0</v>
      </c>
      <c r="AK57" s="20">
        <f t="shared" si="70"/>
        <v>0</v>
      </c>
      <c r="AL57" s="20">
        <f t="shared" si="71"/>
        <v>0</v>
      </c>
      <c r="AM57" s="22">
        <f t="shared" si="22"/>
        <v>0</v>
      </c>
      <c r="AN57" s="51">
        <f>+AP43</f>
        <v>4957011.7783333398</v>
      </c>
      <c r="AO57" s="79" t="str">
        <f t="shared" si="82"/>
        <v/>
      </c>
      <c r="AP57" s="224"/>
      <c r="AQ57" s="10"/>
      <c r="AR57" s="11"/>
    </row>
    <row r="58" spans="1:44" x14ac:dyDescent="0.25">
      <c r="A58" s="211"/>
      <c r="B58" s="211"/>
      <c r="C58" s="211"/>
      <c r="D58" s="211"/>
      <c r="E58" s="4">
        <v>1</v>
      </c>
      <c r="F58" s="7">
        <f>+H23</f>
        <v>48</v>
      </c>
      <c r="G58" s="4">
        <v>3</v>
      </c>
      <c r="H58" s="14">
        <f>+'LOGIKA AN-3'!H53</f>
        <v>47.14</v>
      </c>
      <c r="I58" s="7">
        <f t="shared" ref="I58" si="98">+I57</f>
        <v>80</v>
      </c>
      <c r="J58" s="18">
        <f>+(F58-H58)/I58</f>
        <v>1.0749999999999992E-2</v>
      </c>
      <c r="K58" s="7">
        <f t="shared" ref="K58" si="99">+K57</f>
        <v>158</v>
      </c>
      <c r="L58" s="14">
        <f>IF(K58&lt;38,K58^0.3686*0.7401,IF(K58&lt;235,K58^0.4193*0.6215,IF(K58&lt;932,K58*0.0092+4.2493,K58*0.0069+6.7345)))</f>
        <v>5.1920402377148429</v>
      </c>
      <c r="M58" s="31">
        <f>+L58/1000</f>
        <v>5.1920402377148428E-3</v>
      </c>
      <c r="N58" s="31">
        <f t="shared" si="0"/>
        <v>8.9581632759616031E-2</v>
      </c>
      <c r="O58" s="31">
        <f t="shared" si="1"/>
        <v>3.5268359354179539</v>
      </c>
      <c r="P58" s="57">
        <f t="shared" si="12"/>
        <v>6</v>
      </c>
      <c r="Q58" s="60">
        <f>IF(O58&gt;0,VLOOKUP(P58,'$ alcantarillado'!$I$5:$L$22,4,FALSE),"0")</f>
        <v>0.14499999999999999</v>
      </c>
      <c r="R58" s="60">
        <f t="shared" si="2"/>
        <v>1.8752915292270699E-2</v>
      </c>
      <c r="S58" s="27">
        <f t="shared" si="3"/>
        <v>0.27686576496481169</v>
      </c>
      <c r="T58" s="57">
        <f>+IF(S58&gt;$B$13,VLOOKUP(P58,'$ alcantarillado'!$I$6:$N$22,5),P58)</f>
        <v>6</v>
      </c>
      <c r="U58" s="60">
        <f>IF(O58&gt;0,VLOOKUP(T58,'$ alcantarillado'!$I$5:$L$22,4),"0")</f>
        <v>0.14499999999999999</v>
      </c>
      <c r="V58" s="60">
        <f t="shared" si="4"/>
        <v>1.8752915292270699E-2</v>
      </c>
      <c r="W58" s="27">
        <f t="shared" si="97"/>
        <v>0.27686576496481169</v>
      </c>
      <c r="X58" s="27">
        <f>IF(T58&gt;0,4*V58/(PI()*(U58)^2),"")</f>
        <v>1.1356458182729046</v>
      </c>
      <c r="Y58" s="60">
        <f>IF(T58&gt;0,(VLOOKUP($W58,Relaciones!$A$4:$D$108,2)),"")</f>
        <v>0.70599999999999996</v>
      </c>
      <c r="Z58" s="27">
        <f>IF(T58&gt;0,Y58*X58,"")</f>
        <v>0.80176594770067056</v>
      </c>
      <c r="AA58" s="27">
        <f>IF(T58&gt;0,250*U58*J58,"")</f>
        <v>0.38968749999999974</v>
      </c>
      <c r="AB58" s="45" t="str">
        <f>IF(T58&gt;0,IF(W58&lt;=$B$13,"OK","No Cumple"),"")</f>
        <v>OK</v>
      </c>
      <c r="AC58" s="45" t="str">
        <f>IF(T58&gt;0,IF(Z58&gt;=$B$12,"OK","No Cumple"),"")</f>
        <v>OK</v>
      </c>
      <c r="AD58" s="45" t="str">
        <f>IF(T58&gt;0,IF(AA58&gt;$B$14,"OK","No Cumple"),"")</f>
        <v>OK</v>
      </c>
      <c r="AE58" s="32">
        <f>+IF(AB58="OK",1,0)</f>
        <v>1</v>
      </c>
      <c r="AF58" s="32">
        <f>+IF(AC58="OK",1,0)</f>
        <v>1</v>
      </c>
      <c r="AG58" s="32">
        <f>+IF(AD58="OK",1,0)</f>
        <v>1</v>
      </c>
      <c r="AH58" s="32">
        <f>SUM(AE58:AG58)</f>
        <v>3</v>
      </c>
      <c r="AI58" s="45">
        <f>IF(AH58=3,2*$B$7+U58,0)</f>
        <v>0.64500000000000002</v>
      </c>
      <c r="AJ58" s="21">
        <f>IF(AI58&gt;0,I58*VLOOKUP(T58,'$ alcantarillado'!$I$6:$K$22,3),0)</f>
        <v>1912173.3333333335</v>
      </c>
      <c r="AK58" s="21">
        <f t="shared" si="70"/>
        <v>2222154.0000000042</v>
      </c>
      <c r="AL58" s="21">
        <f t="shared" si="71"/>
        <v>938784.44500000204</v>
      </c>
      <c r="AM58" s="21">
        <f>IF(AJ58&gt;0,AJ58+AK58+AL58,0)</f>
        <v>5073111.7783333398</v>
      </c>
      <c r="AN58" s="49">
        <f>IF(AP23&gt;0,+AP23,0)</f>
        <v>0</v>
      </c>
      <c r="AO58" s="77" t="str">
        <f>IF((AM58)&gt;0,IF(AN58&gt;0,AM58+AN58,""),"")</f>
        <v/>
      </c>
      <c r="AP58" s="213">
        <f>+MIN(AO58:AO62)</f>
        <v>10320718.80666668</v>
      </c>
      <c r="AQ58" s="7"/>
      <c r="AR58" s="8"/>
    </row>
    <row r="59" spans="1:44" x14ac:dyDescent="0.25">
      <c r="A59" s="211"/>
      <c r="B59" s="211"/>
      <c r="C59" s="211"/>
      <c r="D59" s="211"/>
      <c r="E59" s="5">
        <v>2</v>
      </c>
      <c r="F59" s="2">
        <f>+H28</f>
        <v>47.875</v>
      </c>
      <c r="G59" s="5">
        <v>3</v>
      </c>
      <c r="H59" s="15">
        <f>+H58</f>
        <v>47.14</v>
      </c>
      <c r="I59" s="2">
        <f>+I58</f>
        <v>80</v>
      </c>
      <c r="J59" s="18">
        <f t="shared" si="9"/>
        <v>9.1874999999999925E-3</v>
      </c>
      <c r="K59" s="2">
        <f>+K58</f>
        <v>158</v>
      </c>
      <c r="L59" s="15">
        <f t="shared" si="10"/>
        <v>5.1920402377148429</v>
      </c>
      <c r="M59" s="33">
        <f t="shared" ref="M59:M62" si="100">+L59/1000</f>
        <v>5.1920402377148428E-3</v>
      </c>
      <c r="N59" s="33">
        <f t="shared" si="0"/>
        <v>9.2258960576735272E-2</v>
      </c>
      <c r="O59" s="33">
        <f t="shared" si="1"/>
        <v>3.6322425423911526</v>
      </c>
      <c r="P59" s="58">
        <f t="shared" si="12"/>
        <v>6</v>
      </c>
      <c r="Q59" s="55">
        <f>IF(O59&gt;0,VLOOKUP(P59,'$ alcantarillado'!$I$5:$L$22,4,FALSE),"0")</f>
        <v>0.14499999999999999</v>
      </c>
      <c r="R59" s="55">
        <f t="shared" si="2"/>
        <v>1.7336572328593754E-2</v>
      </c>
      <c r="S59" s="35">
        <f t="shared" si="3"/>
        <v>0.29948481968096125</v>
      </c>
      <c r="T59" s="58">
        <f>+IF(S59&gt;$B$13,VLOOKUP(P59,'$ alcantarillado'!$I$6:$N$22,5),P59)</f>
        <v>6</v>
      </c>
      <c r="U59" s="55">
        <f>IF(O59&gt;0,VLOOKUP(T59,'$ alcantarillado'!$I$5:$L$22,4),"0")</f>
        <v>0.14499999999999999</v>
      </c>
      <c r="V59" s="55">
        <f t="shared" si="4"/>
        <v>1.7336572328593754E-2</v>
      </c>
      <c r="W59" s="35">
        <f t="shared" si="97"/>
        <v>0.29948481968096125</v>
      </c>
      <c r="X59" s="35">
        <f t="shared" ref="X59:X62" si="101">IF(T59&gt;0,4*V59/(PI()*(U59)^2),"")</f>
        <v>1.0498744094614476</v>
      </c>
      <c r="Y59" s="55">
        <f>IF(T59&gt;0,(VLOOKUP($W59,Relaciones!$A$4:$D$108,2)),"")</f>
        <v>0.72</v>
      </c>
      <c r="Z59" s="35">
        <f t="shared" ref="Z59:Z62" si="102">IF(T59&gt;0,Y59*X59,"")</f>
        <v>0.7559095748122423</v>
      </c>
      <c r="AA59" s="35">
        <f t="shared" ref="AA59:AA62" si="103">IF(T59&gt;0,250*U59*J59,"")</f>
        <v>0.33304687499999974</v>
      </c>
      <c r="AB59" s="46" t="str">
        <f t="shared" ref="AB59:AB62" si="104">IF(T59&gt;0,IF(W59&lt;=$B$13,"OK","No Cumple"),"")</f>
        <v>OK</v>
      </c>
      <c r="AC59" s="46" t="str">
        <f t="shared" ref="AC59:AC62" si="105">IF(T59&gt;0,IF(Z59&gt;=$B$12,"OK","No Cumple"),"")</f>
        <v>OK</v>
      </c>
      <c r="AD59" s="46" t="str">
        <f t="shared" ref="AD59:AD62" si="106">IF(T59&gt;0,IF(AA59&gt;$B$14,"OK","No Cumple"),"")</f>
        <v>OK</v>
      </c>
      <c r="AE59" s="48">
        <f t="shared" ref="AE59:AG62" si="107">+IF(AB59="OK",1,0)</f>
        <v>1</v>
      </c>
      <c r="AF59" s="48">
        <f t="shared" si="107"/>
        <v>1</v>
      </c>
      <c r="AG59" s="48">
        <f t="shared" si="107"/>
        <v>1</v>
      </c>
      <c r="AH59" s="48">
        <f t="shared" ref="AH59:AH62" si="108">SUM(AE59:AG59)</f>
        <v>3</v>
      </c>
      <c r="AI59" s="46">
        <f t="shared" ref="AI59:AI62" si="109">IF(AH59=3,2*$B$7+U59,0)</f>
        <v>0.64500000000000002</v>
      </c>
      <c r="AJ59" s="20">
        <f>IF(AI59&gt;0,I59*VLOOKUP(T59,'$ alcantarillado'!$I$6:$K$22,3),0)</f>
        <v>1912173.3333333335</v>
      </c>
      <c r="AK59" s="20">
        <f t="shared" si="70"/>
        <v>2338254.0000000047</v>
      </c>
      <c r="AL59" s="20">
        <f t="shared" si="71"/>
        <v>1026032.070000002</v>
      </c>
      <c r="AM59" s="20">
        <f t="shared" si="22"/>
        <v>5276459.4033333398</v>
      </c>
      <c r="AN59" s="50">
        <f>+AP28</f>
        <v>0</v>
      </c>
      <c r="AO59" s="78" t="str">
        <f t="shared" si="82"/>
        <v/>
      </c>
      <c r="AP59" s="214"/>
      <c r="AQ59" s="2"/>
      <c r="AR59" s="9"/>
    </row>
    <row r="60" spans="1:44" x14ac:dyDescent="0.25">
      <c r="A60" s="211"/>
      <c r="B60" s="211"/>
      <c r="C60" s="211"/>
      <c r="D60" s="211"/>
      <c r="E60" s="56">
        <v>3</v>
      </c>
      <c r="F60" s="2">
        <f>+H33</f>
        <v>47.75</v>
      </c>
      <c r="G60" s="56">
        <v>3</v>
      </c>
      <c r="H60" s="15">
        <f t="shared" ref="H60:I61" si="110">+H59</f>
        <v>47.14</v>
      </c>
      <c r="I60" s="2">
        <f t="shared" si="110"/>
        <v>80</v>
      </c>
      <c r="J60" s="18">
        <f t="shared" si="9"/>
        <v>7.6249999999999929E-3</v>
      </c>
      <c r="K60" s="2">
        <f t="shared" ref="K60:K61" si="111">+K59</f>
        <v>158</v>
      </c>
      <c r="L60" s="15">
        <f t="shared" si="10"/>
        <v>5.1920402377148429</v>
      </c>
      <c r="M60" s="33">
        <f t="shared" si="100"/>
        <v>5.1920402377148428E-3</v>
      </c>
      <c r="N60" s="33">
        <f t="shared" si="0"/>
        <v>9.5540627508621162E-2</v>
      </c>
      <c r="O60" s="33">
        <f t="shared" si="1"/>
        <v>3.7614420278984713</v>
      </c>
      <c r="P60" s="58">
        <f t="shared" si="12"/>
        <v>6</v>
      </c>
      <c r="Q60" s="55">
        <f>IF(O60&gt;0,VLOOKUP(P60,'$ alcantarillado'!$I$5:$L$22,4,FALSE),"0")</f>
        <v>0.14499999999999999</v>
      </c>
      <c r="R60" s="55">
        <f t="shared" si="2"/>
        <v>1.5793721798551638E-2</v>
      </c>
      <c r="S60" s="35">
        <f t="shared" si="3"/>
        <v>0.32874076825837079</v>
      </c>
      <c r="T60" s="58">
        <f>+IF(S60&gt;$B$13,VLOOKUP(P60,'$ alcantarillado'!$I$6:$N$22,5),P60)</f>
        <v>6</v>
      </c>
      <c r="U60" s="55">
        <f>IF(O60&gt;0,VLOOKUP(T60,'$ alcantarillado'!$I$5:$L$22,4),"0")</f>
        <v>0.14499999999999999</v>
      </c>
      <c r="V60" s="55">
        <f t="shared" si="4"/>
        <v>1.5793721798551638E-2</v>
      </c>
      <c r="W60" s="35">
        <f t="shared" si="97"/>
        <v>0.32874076825837079</v>
      </c>
      <c r="X60" s="35">
        <f t="shared" si="101"/>
        <v>0.95644190974847587</v>
      </c>
      <c r="Y60" s="55">
        <f>IF(T60&gt;0,(VLOOKUP($W60,Relaciones!$A$4:$D$108,2)),"")</f>
        <v>0.74</v>
      </c>
      <c r="Z60" s="35">
        <f t="shared" si="102"/>
        <v>0.70776701321387214</v>
      </c>
      <c r="AA60" s="35">
        <f t="shared" si="103"/>
        <v>0.27640624999999974</v>
      </c>
      <c r="AB60" s="46" t="str">
        <f t="shared" si="104"/>
        <v>OK</v>
      </c>
      <c r="AC60" s="46" t="str">
        <f t="shared" si="105"/>
        <v>OK</v>
      </c>
      <c r="AD60" s="46" t="str">
        <f t="shared" si="106"/>
        <v>OK</v>
      </c>
      <c r="AE60" s="48">
        <f t="shared" si="107"/>
        <v>1</v>
      </c>
      <c r="AF60" s="48">
        <f t="shared" si="107"/>
        <v>1</v>
      </c>
      <c r="AG60" s="48">
        <f t="shared" si="107"/>
        <v>1</v>
      </c>
      <c r="AH60" s="48">
        <f t="shared" si="108"/>
        <v>3</v>
      </c>
      <c r="AI60" s="46">
        <f t="shared" si="109"/>
        <v>0.64500000000000002</v>
      </c>
      <c r="AJ60" s="20">
        <f>IF(AI60&gt;0,I60*VLOOKUP(T60,'$ alcantarillado'!$I$6:$K$22,3),0)</f>
        <v>1912173.3333333335</v>
      </c>
      <c r="AK60" s="20">
        <f t="shared" si="70"/>
        <v>2454354.0000000042</v>
      </c>
      <c r="AL60" s="20">
        <f t="shared" si="71"/>
        <v>1113279.6950000019</v>
      </c>
      <c r="AM60" s="20">
        <f t="shared" si="22"/>
        <v>5479807.0283333398</v>
      </c>
      <c r="AN60" s="50">
        <f>+AP33</f>
        <v>4840911.7783333398</v>
      </c>
      <c r="AO60" s="78">
        <f t="shared" si="82"/>
        <v>10320718.80666668</v>
      </c>
      <c r="AP60" s="215"/>
      <c r="AQ60" s="2"/>
      <c r="AR60" s="9"/>
    </row>
    <row r="61" spans="1:44" x14ac:dyDescent="0.25">
      <c r="A61" s="211"/>
      <c r="B61" s="211"/>
      <c r="C61" s="211"/>
      <c r="D61" s="211"/>
      <c r="E61" s="56">
        <v>4</v>
      </c>
      <c r="F61" s="2">
        <f>+H38</f>
        <v>47.625</v>
      </c>
      <c r="G61" s="56">
        <v>3</v>
      </c>
      <c r="H61" s="15">
        <f t="shared" si="110"/>
        <v>47.14</v>
      </c>
      <c r="I61" s="2">
        <f t="shared" si="110"/>
        <v>80</v>
      </c>
      <c r="J61" s="18">
        <f>+(F61-H61)/I61</f>
        <v>6.0624999999999932E-3</v>
      </c>
      <c r="K61" s="2">
        <f t="shared" si="111"/>
        <v>158</v>
      </c>
      <c r="L61" s="15">
        <f t="shared" si="10"/>
        <v>5.1920402377148429</v>
      </c>
      <c r="M61" s="33">
        <f t="shared" si="100"/>
        <v>5.1920402377148428E-3</v>
      </c>
      <c r="N61" s="33">
        <f t="shared" si="0"/>
        <v>9.9738046437711433E-2</v>
      </c>
      <c r="O61" s="33">
        <f t="shared" si="1"/>
        <v>3.9266947416421827</v>
      </c>
      <c r="P61" s="58">
        <f t="shared" si="12"/>
        <v>6</v>
      </c>
      <c r="Q61" s="55">
        <f>IF(O61&gt;0,VLOOKUP(P61,'$ alcantarillado'!$I$5:$L$22,4,FALSE),"0")</f>
        <v>0.14499999999999999</v>
      </c>
      <c r="R61" s="55">
        <f t="shared" si="2"/>
        <v>1.4082846175241982E-2</v>
      </c>
      <c r="S61" s="35">
        <f t="shared" si="3"/>
        <v>0.36867833200099759</v>
      </c>
      <c r="T61" s="58">
        <f>+IF(S61&gt;$B$13,VLOOKUP(P61,'$ alcantarillado'!$I$6:$N$22,5),P61)</f>
        <v>6</v>
      </c>
      <c r="U61" s="55">
        <f>IF(O61&gt;0,VLOOKUP(T61,'$ alcantarillado'!$I$5:$L$22,4),"0")</f>
        <v>0.14499999999999999</v>
      </c>
      <c r="V61" s="55">
        <f t="shared" si="4"/>
        <v>1.4082846175241982E-2</v>
      </c>
      <c r="W61" s="35">
        <f t="shared" si="97"/>
        <v>0.36867833200099759</v>
      </c>
      <c r="X61" s="35">
        <f t="shared" si="101"/>
        <v>0.8528340857427078</v>
      </c>
      <c r="Y61" s="55">
        <f>IF(T61&gt;0,(VLOOKUP($W61,Relaciones!$A$4:$D$108,2)),"")</f>
        <v>0.76800000000000002</v>
      </c>
      <c r="Z61" s="35">
        <f t="shared" si="102"/>
        <v>0.65497657785039964</v>
      </c>
      <c r="AA61" s="35">
        <f t="shared" si="103"/>
        <v>0.21976562499999974</v>
      </c>
      <c r="AB61" s="46" t="str">
        <f t="shared" si="104"/>
        <v>OK</v>
      </c>
      <c r="AC61" s="46" t="str">
        <f t="shared" si="105"/>
        <v>OK</v>
      </c>
      <c r="AD61" s="46" t="str">
        <f t="shared" si="106"/>
        <v>OK</v>
      </c>
      <c r="AE61" s="48">
        <f t="shared" si="107"/>
        <v>1</v>
      </c>
      <c r="AF61" s="48">
        <f t="shared" si="107"/>
        <v>1</v>
      </c>
      <c r="AG61" s="48">
        <f t="shared" si="107"/>
        <v>1</v>
      </c>
      <c r="AH61" s="48">
        <f t="shared" si="108"/>
        <v>3</v>
      </c>
      <c r="AI61" s="46">
        <f t="shared" si="109"/>
        <v>0.64500000000000002</v>
      </c>
      <c r="AJ61" s="20">
        <f>IF(AI61&gt;0,I61*VLOOKUP(T61,'$ alcantarillado'!$I$6:$K$22,3),0)</f>
        <v>1912173.3333333335</v>
      </c>
      <c r="AK61" s="20">
        <f t="shared" si="70"/>
        <v>2570454.0000000042</v>
      </c>
      <c r="AL61" s="20">
        <f t="shared" si="71"/>
        <v>1200527.3200000019</v>
      </c>
      <c r="AM61" s="20">
        <f t="shared" si="22"/>
        <v>5683154.6533333398</v>
      </c>
      <c r="AN61" s="50">
        <f>+AP38</f>
        <v>4898961.7783333398</v>
      </c>
      <c r="AO61" s="78">
        <f t="shared" si="82"/>
        <v>10582116.43166668</v>
      </c>
      <c r="AP61" s="215"/>
      <c r="AQ61" s="2">
        <v>3</v>
      </c>
      <c r="AR61" s="9">
        <v>3</v>
      </c>
    </row>
    <row r="62" spans="1:44" ht="15.75" thickBot="1" x14ac:dyDescent="0.3">
      <c r="A62" s="211"/>
      <c r="B62" s="211"/>
      <c r="C62" s="211"/>
      <c r="D62" s="211"/>
      <c r="E62" s="6">
        <v>5</v>
      </c>
      <c r="F62" s="16">
        <f>+H43</f>
        <v>47.5</v>
      </c>
      <c r="G62" s="6">
        <v>3</v>
      </c>
      <c r="H62" s="16">
        <f>+H61</f>
        <v>47.14</v>
      </c>
      <c r="I62" s="10">
        <f>+I61</f>
        <v>80</v>
      </c>
      <c r="J62" s="19">
        <f t="shared" si="9"/>
        <v>4.4999999999999927E-3</v>
      </c>
      <c r="K62" s="10">
        <f>+K61</f>
        <v>158</v>
      </c>
      <c r="L62" s="16">
        <f t="shared" si="10"/>
        <v>5.1920402377148429</v>
      </c>
      <c r="M62" s="34">
        <f t="shared" si="100"/>
        <v>5.1920402377148428E-3</v>
      </c>
      <c r="N62" s="34">
        <f t="shared" si="0"/>
        <v>0.1054704295004068</v>
      </c>
      <c r="O62" s="34">
        <f t="shared" si="1"/>
        <v>4.1523791141892445</v>
      </c>
      <c r="P62" s="59">
        <f t="shared" si="12"/>
        <v>6</v>
      </c>
      <c r="Q62" s="55">
        <f>IF(O62&gt;0,VLOOKUP(P62,'$ alcantarillado'!$I$5:$L$22,4,FALSE),"0")</f>
        <v>0.14499999999999999</v>
      </c>
      <c r="R62" s="47">
        <f t="shared" si="2"/>
        <v>1.2133073169688305E-2</v>
      </c>
      <c r="S62" s="35">
        <f t="shared" si="3"/>
        <v>0.42792457979120757</v>
      </c>
      <c r="T62" s="58">
        <f>+IF(S62&gt;$B$13,VLOOKUP(P62,'$ alcantarillado'!$I$6:$N$22,5),P62)</f>
        <v>6</v>
      </c>
      <c r="U62" s="55">
        <f>IF(O62&gt;0,VLOOKUP(T62,'$ alcantarillado'!$I$5:$L$22,4),"0")</f>
        <v>0.14499999999999999</v>
      </c>
      <c r="V62" s="55">
        <f t="shared" si="4"/>
        <v>1.2133073169688305E-2</v>
      </c>
      <c r="W62" s="35">
        <f t="shared" si="97"/>
        <v>0.42792457979120757</v>
      </c>
      <c r="X62" s="35">
        <f t="shared" si="101"/>
        <v>0.73475902776753177</v>
      </c>
      <c r="Y62" s="55">
        <f>IF(T62&gt;0,(VLOOKUP($W62,Relaciones!$A$4:$D$108,2)),"")</f>
        <v>0.80600000000000005</v>
      </c>
      <c r="Z62" s="35">
        <f t="shared" si="102"/>
        <v>0.59221577638063061</v>
      </c>
      <c r="AA62" s="35">
        <f t="shared" si="103"/>
        <v>0.16312499999999974</v>
      </c>
      <c r="AB62" s="46" t="str">
        <f t="shared" si="104"/>
        <v>OK</v>
      </c>
      <c r="AC62" s="46" t="str">
        <f t="shared" si="105"/>
        <v>OK</v>
      </c>
      <c r="AD62" s="46" t="str">
        <f t="shared" si="106"/>
        <v>OK</v>
      </c>
      <c r="AE62" s="48">
        <f t="shared" si="107"/>
        <v>1</v>
      </c>
      <c r="AF62" s="48">
        <f t="shared" si="107"/>
        <v>1</v>
      </c>
      <c r="AG62" s="48">
        <f t="shared" si="107"/>
        <v>1</v>
      </c>
      <c r="AH62" s="48">
        <f t="shared" si="108"/>
        <v>3</v>
      </c>
      <c r="AI62" s="46">
        <f t="shared" si="109"/>
        <v>0.64500000000000002</v>
      </c>
      <c r="AJ62" s="22">
        <f>IF(AI62&gt;0,I62*VLOOKUP(T62,'$ alcantarillado'!$I$6:$K$22,3),0)</f>
        <v>1912173.3333333335</v>
      </c>
      <c r="AK62" s="20">
        <f t="shared" si="70"/>
        <v>2686554.0000000042</v>
      </c>
      <c r="AL62" s="20">
        <f t="shared" si="71"/>
        <v>1287774.9450000019</v>
      </c>
      <c r="AM62" s="22">
        <f t="shared" si="22"/>
        <v>5886502.2783333398</v>
      </c>
      <c r="AN62" s="51">
        <f>+AP43</f>
        <v>4957011.7783333398</v>
      </c>
      <c r="AO62" s="79">
        <f t="shared" si="82"/>
        <v>10843514.05666668</v>
      </c>
      <c r="AP62" s="216"/>
      <c r="AQ62" s="10"/>
      <c r="AR62" s="11"/>
    </row>
    <row r="63" spans="1:44" x14ac:dyDescent="0.25">
      <c r="A63" s="211"/>
      <c r="B63" s="211"/>
      <c r="C63" s="211"/>
      <c r="D63" s="211"/>
      <c r="E63" s="4">
        <v>1</v>
      </c>
      <c r="F63" s="7">
        <f>+H23</f>
        <v>48</v>
      </c>
      <c r="G63" s="4">
        <v>4</v>
      </c>
      <c r="H63" s="14">
        <f>+H58-$B$15</f>
        <v>47.015000000000001</v>
      </c>
      <c r="I63" s="12">
        <f>+I58</f>
        <v>80</v>
      </c>
      <c r="J63" s="18">
        <f>+(F63-H63)/I63</f>
        <v>1.2312499999999994E-2</v>
      </c>
      <c r="K63" s="12">
        <f>+K58</f>
        <v>158</v>
      </c>
      <c r="L63" s="14">
        <f>IF(K63&lt;38,K63^0.3686*0.7401,IF(K63&lt;235,K63^0.4193*0.6215,IF(K63&lt;932,K63*0.0092+4.2493,K63*0.0069+6.7345)))</f>
        <v>5.1920402377148429</v>
      </c>
      <c r="M63" s="31">
        <f>+L63/1000</f>
        <v>5.1920402377148428E-3</v>
      </c>
      <c r="N63" s="31">
        <f t="shared" si="0"/>
        <v>8.7330941097919015E-2</v>
      </c>
      <c r="O63" s="31">
        <f t="shared" si="1"/>
        <v>3.4382260274771266</v>
      </c>
      <c r="P63" s="57">
        <f t="shared" si="12"/>
        <v>6</v>
      </c>
      <c r="Q63" s="60">
        <f>IF(O63&gt;0,VLOOKUP(P63,'$ alcantarillado'!$I$5:$L$22,4,FALSE),"0")</f>
        <v>0.14499999999999999</v>
      </c>
      <c r="R63" s="60">
        <f t="shared" si="2"/>
        <v>2.006955215777367E-2</v>
      </c>
      <c r="S63" s="27">
        <f t="shared" si="3"/>
        <v>0.25870234656450847</v>
      </c>
      <c r="T63" s="57">
        <f>+IF(S63&gt;$B$13,VLOOKUP(P63,'$ alcantarillado'!$I$6:$N$22,5),P63)</f>
        <v>6</v>
      </c>
      <c r="U63" s="60">
        <f>IF(O63&gt;0,VLOOKUP(T63,'$ alcantarillado'!$I$5:$L$22,4),"0")</f>
        <v>0.14499999999999999</v>
      </c>
      <c r="V63" s="60">
        <f t="shared" si="4"/>
        <v>2.006955215777367E-2</v>
      </c>
      <c r="W63" s="27">
        <f t="shared" si="97"/>
        <v>0.25870234656450847</v>
      </c>
      <c r="X63" s="27">
        <f>IF(T63&gt;0,4*V63/(PI()*(U63)^2),"")</f>
        <v>1.2153791891749037</v>
      </c>
      <c r="Y63" s="60">
        <f>IF(T63&gt;0,(VLOOKUP($W63,Relaciones!$A$4:$D$108,2)),"")</f>
        <v>0.69499999999999995</v>
      </c>
      <c r="Z63" s="27">
        <f>IF(T63&gt;0,Y63*X63,"")</f>
        <v>0.84468853647655806</v>
      </c>
      <c r="AA63" s="27">
        <f>IF(T63&gt;0,250*U63*J63,"")</f>
        <v>0.44632812499999974</v>
      </c>
      <c r="AB63" s="45" t="str">
        <f>IF(T63&gt;0,IF(W63&lt;=$B$13,"OK","No Cumple"),"")</f>
        <v>OK</v>
      </c>
      <c r="AC63" s="45" t="str">
        <f>IF(T63&gt;0,IF(Z63&gt;=$B$12,"OK","No Cumple"),"")</f>
        <v>OK</v>
      </c>
      <c r="AD63" s="45" t="str">
        <f>IF(T63&gt;0,IF(AA63&gt;$B$14,"OK","No Cumple"),"")</f>
        <v>OK</v>
      </c>
      <c r="AE63" s="32">
        <f>+IF(AB63="OK",1,0)</f>
        <v>1</v>
      </c>
      <c r="AF63" s="32">
        <f>+IF(AC63="OK",1,0)</f>
        <v>1</v>
      </c>
      <c r="AG63" s="32">
        <f>+IF(AD63="OK",1,0)</f>
        <v>1</v>
      </c>
      <c r="AH63" s="32">
        <f>SUM(AE63:AG63)</f>
        <v>3</v>
      </c>
      <c r="AI63" s="45">
        <f>IF(AH63=3,2*$B$7+U63,0)</f>
        <v>0.64500000000000002</v>
      </c>
      <c r="AJ63" s="21">
        <f>IF(AI63&gt;0,I63*VLOOKUP(T63,'$ alcantarillado'!$I$6:$K$22,3),0)</f>
        <v>1912173.3333333335</v>
      </c>
      <c r="AK63" s="21">
        <f t="shared" si="70"/>
        <v>2280204.0000000042</v>
      </c>
      <c r="AL63" s="21">
        <f t="shared" si="71"/>
        <v>938784.44500000204</v>
      </c>
      <c r="AM63" s="21">
        <f>IF(AJ63&gt;0,AJ63+AK63+AL63,0)</f>
        <v>5131161.7783333398</v>
      </c>
      <c r="AN63" s="49">
        <f>IF(AP23&gt;0,+AP23,0)</f>
        <v>0</v>
      </c>
      <c r="AO63" s="77" t="str">
        <f>IF((AM63)&gt;0,IF(AN63&gt;0,AM63+AN63,""),"")</f>
        <v/>
      </c>
      <c r="AP63" s="213">
        <f>+MIN(AO63:AO67)</f>
        <v>10378768.80666668</v>
      </c>
      <c r="AQ63" s="7"/>
      <c r="AR63" s="8"/>
    </row>
    <row r="64" spans="1:44" x14ac:dyDescent="0.25">
      <c r="A64" s="211"/>
      <c r="B64" s="211"/>
      <c r="C64" s="211"/>
      <c r="D64" s="211"/>
      <c r="E64" s="5">
        <v>2</v>
      </c>
      <c r="F64" s="2">
        <f>+H28</f>
        <v>47.875</v>
      </c>
      <c r="G64" s="5">
        <v>4</v>
      </c>
      <c r="H64" s="15">
        <f>+H63</f>
        <v>47.015000000000001</v>
      </c>
      <c r="I64" s="2">
        <f>+I63</f>
        <v>80</v>
      </c>
      <c r="J64" s="18">
        <f t="shared" si="9"/>
        <v>1.0749999999999992E-2</v>
      </c>
      <c r="K64" s="2">
        <f>+K63</f>
        <v>158</v>
      </c>
      <c r="L64" s="15">
        <f t="shared" si="10"/>
        <v>5.1920402377148429</v>
      </c>
      <c r="M64" s="33">
        <f t="shared" ref="M64:M67" si="112">+L64/1000</f>
        <v>5.1920402377148428E-3</v>
      </c>
      <c r="N64" s="33">
        <f t="shared" si="0"/>
        <v>8.9581632759616031E-2</v>
      </c>
      <c r="O64" s="33">
        <f t="shared" si="1"/>
        <v>3.5268359354179539</v>
      </c>
      <c r="P64" s="58">
        <f t="shared" si="12"/>
        <v>6</v>
      </c>
      <c r="Q64" s="55">
        <f>IF(O64&gt;0,VLOOKUP(P64,'$ alcantarillado'!$I$5:$L$22,4,FALSE),"0")</f>
        <v>0.14499999999999999</v>
      </c>
      <c r="R64" s="55">
        <f t="shared" si="2"/>
        <v>1.8752915292270699E-2</v>
      </c>
      <c r="S64" s="35">
        <f t="shared" si="3"/>
        <v>0.27686576496481169</v>
      </c>
      <c r="T64" s="58">
        <f>+IF(S64&gt;$B$13,VLOOKUP(P64,'$ alcantarillado'!$I$6:$N$22,5),P64)</f>
        <v>6</v>
      </c>
      <c r="U64" s="55">
        <f>IF(O64&gt;0,VLOOKUP(T64,'$ alcantarillado'!$I$5:$L$22,4),"0")</f>
        <v>0.14499999999999999</v>
      </c>
      <c r="V64" s="55">
        <f t="shared" si="4"/>
        <v>1.8752915292270699E-2</v>
      </c>
      <c r="W64" s="35">
        <f t="shared" si="97"/>
        <v>0.27686576496481169</v>
      </c>
      <c r="X64" s="35">
        <f t="shared" ref="X64:X67" si="113">IF(T64&gt;0,4*V64/(PI()*(U64)^2),"")</f>
        <v>1.1356458182729046</v>
      </c>
      <c r="Y64" s="55">
        <f>IF(T64&gt;0,(VLOOKUP($W64,Relaciones!$A$4:$D$108,2)),"")</f>
        <v>0.70599999999999996</v>
      </c>
      <c r="Z64" s="35">
        <f t="shared" ref="Z64:Z67" si="114">IF(T64&gt;0,Y64*X64,"")</f>
        <v>0.80176594770067056</v>
      </c>
      <c r="AA64" s="35">
        <f t="shared" ref="AA64:AA67" si="115">IF(T64&gt;0,250*U64*J64,"")</f>
        <v>0.38968749999999974</v>
      </c>
      <c r="AB64" s="46" t="str">
        <f t="shared" ref="AB64:AB67" si="116">IF(T64&gt;0,IF(W64&lt;=$B$13,"OK","No Cumple"),"")</f>
        <v>OK</v>
      </c>
      <c r="AC64" s="46" t="str">
        <f t="shared" ref="AC64:AC67" si="117">IF(T64&gt;0,IF(Z64&gt;=$B$12,"OK","No Cumple"),"")</f>
        <v>OK</v>
      </c>
      <c r="AD64" s="46" t="str">
        <f t="shared" ref="AD64:AD67" si="118">IF(T64&gt;0,IF(AA64&gt;$B$14,"OK","No Cumple"),"")</f>
        <v>OK</v>
      </c>
      <c r="AE64" s="48">
        <f t="shared" ref="AE64:AG67" si="119">+IF(AB64="OK",1,0)</f>
        <v>1</v>
      </c>
      <c r="AF64" s="48">
        <f t="shared" si="119"/>
        <v>1</v>
      </c>
      <c r="AG64" s="48">
        <f t="shared" si="119"/>
        <v>1</v>
      </c>
      <c r="AH64" s="48">
        <f t="shared" ref="AH64:AH67" si="120">SUM(AE64:AG64)</f>
        <v>3</v>
      </c>
      <c r="AI64" s="46">
        <f t="shared" ref="AI64:AI67" si="121">IF(AH64=3,2*$B$7+U64,0)</f>
        <v>0.64500000000000002</v>
      </c>
      <c r="AJ64" s="20">
        <f>IF(AI64&gt;0,I64*VLOOKUP(T64,'$ alcantarillado'!$I$6:$K$22,3),0)</f>
        <v>1912173.3333333335</v>
      </c>
      <c r="AK64" s="20">
        <f t="shared" si="70"/>
        <v>2396304.0000000042</v>
      </c>
      <c r="AL64" s="20">
        <f t="shared" si="71"/>
        <v>1026032.070000002</v>
      </c>
      <c r="AM64" s="20">
        <f t="shared" si="22"/>
        <v>5334509.4033333398</v>
      </c>
      <c r="AN64" s="50">
        <f>+AP28</f>
        <v>0</v>
      </c>
      <c r="AO64" s="78" t="str">
        <f t="shared" si="82"/>
        <v/>
      </c>
      <c r="AP64" s="214"/>
      <c r="AQ64" s="2"/>
      <c r="AR64" s="9"/>
    </row>
    <row r="65" spans="1:44" x14ac:dyDescent="0.25">
      <c r="A65" s="211"/>
      <c r="B65" s="211"/>
      <c r="C65" s="211"/>
      <c r="D65" s="211"/>
      <c r="E65" s="56">
        <v>3</v>
      </c>
      <c r="F65" s="2">
        <f>+H33</f>
        <v>47.75</v>
      </c>
      <c r="G65" s="5">
        <v>4</v>
      </c>
      <c r="H65" s="15">
        <f t="shared" ref="H65:I66" si="122">+H64</f>
        <v>47.015000000000001</v>
      </c>
      <c r="I65" s="2">
        <f t="shared" si="122"/>
        <v>80</v>
      </c>
      <c r="J65" s="18">
        <f t="shared" si="9"/>
        <v>9.1874999999999925E-3</v>
      </c>
      <c r="K65" s="2">
        <f t="shared" ref="K65:K66" si="123">+K64</f>
        <v>158</v>
      </c>
      <c r="L65" s="15">
        <f t="shared" si="10"/>
        <v>5.1920402377148429</v>
      </c>
      <c r="M65" s="33">
        <f t="shared" si="112"/>
        <v>5.1920402377148428E-3</v>
      </c>
      <c r="N65" s="33">
        <f t="shared" si="0"/>
        <v>9.2258960576735272E-2</v>
      </c>
      <c r="O65" s="33">
        <f t="shared" si="1"/>
        <v>3.6322425423911526</v>
      </c>
      <c r="P65" s="58">
        <f t="shared" si="12"/>
        <v>6</v>
      </c>
      <c r="Q65" s="55">
        <f>IF(O65&gt;0,VLOOKUP(P65,'$ alcantarillado'!$I$5:$L$22,4,FALSE),"0")</f>
        <v>0.14499999999999999</v>
      </c>
      <c r="R65" s="55">
        <f t="shared" si="2"/>
        <v>1.7336572328593754E-2</v>
      </c>
      <c r="S65" s="35">
        <f t="shared" si="3"/>
        <v>0.29948481968096125</v>
      </c>
      <c r="T65" s="58">
        <f>+IF(S65&gt;$B$13,VLOOKUP(P65,'$ alcantarillado'!$I$6:$N$22,5),P65)</f>
        <v>6</v>
      </c>
      <c r="U65" s="55">
        <f>IF(O65&gt;0,VLOOKUP(T65,'$ alcantarillado'!$I$5:$L$22,4),"0")</f>
        <v>0.14499999999999999</v>
      </c>
      <c r="V65" s="55">
        <f t="shared" si="4"/>
        <v>1.7336572328593754E-2</v>
      </c>
      <c r="W65" s="35">
        <f t="shared" si="97"/>
        <v>0.29948481968096125</v>
      </c>
      <c r="X65" s="35">
        <f t="shared" si="113"/>
        <v>1.0498744094614476</v>
      </c>
      <c r="Y65" s="55">
        <f>IF(T65&gt;0,(VLOOKUP($W65,Relaciones!$A$4:$D$108,2)),"")</f>
        <v>0.72</v>
      </c>
      <c r="Z65" s="35">
        <f t="shared" si="114"/>
        <v>0.7559095748122423</v>
      </c>
      <c r="AA65" s="35">
        <f t="shared" si="115"/>
        <v>0.33304687499999974</v>
      </c>
      <c r="AB65" s="46" t="str">
        <f t="shared" si="116"/>
        <v>OK</v>
      </c>
      <c r="AC65" s="46" t="str">
        <f t="shared" si="117"/>
        <v>OK</v>
      </c>
      <c r="AD65" s="46" t="str">
        <f t="shared" si="118"/>
        <v>OK</v>
      </c>
      <c r="AE65" s="48">
        <f t="shared" si="119"/>
        <v>1</v>
      </c>
      <c r="AF65" s="48">
        <f t="shared" si="119"/>
        <v>1</v>
      </c>
      <c r="AG65" s="48">
        <f t="shared" si="119"/>
        <v>1</v>
      </c>
      <c r="AH65" s="48">
        <f t="shared" si="120"/>
        <v>3</v>
      </c>
      <c r="AI65" s="46">
        <f t="shared" si="121"/>
        <v>0.64500000000000002</v>
      </c>
      <c r="AJ65" s="20">
        <f>IF(AI65&gt;0,I65*VLOOKUP(T65,'$ alcantarillado'!$I$6:$K$22,3),0)</f>
        <v>1912173.3333333335</v>
      </c>
      <c r="AK65" s="20">
        <f t="shared" si="70"/>
        <v>2512404.0000000042</v>
      </c>
      <c r="AL65" s="20">
        <f t="shared" si="71"/>
        <v>1113279.6950000019</v>
      </c>
      <c r="AM65" s="20">
        <f t="shared" si="22"/>
        <v>5537857.0283333398</v>
      </c>
      <c r="AN65" s="50">
        <f>+AP33</f>
        <v>4840911.7783333398</v>
      </c>
      <c r="AO65" s="78">
        <f t="shared" si="82"/>
        <v>10378768.80666668</v>
      </c>
      <c r="AP65" s="215"/>
      <c r="AQ65" s="2">
        <v>3</v>
      </c>
      <c r="AR65" s="9">
        <v>4</v>
      </c>
    </row>
    <row r="66" spans="1:44" x14ac:dyDescent="0.25">
      <c r="A66" s="211"/>
      <c r="B66" s="211"/>
      <c r="C66" s="211"/>
      <c r="D66" s="211"/>
      <c r="E66" s="56">
        <v>4</v>
      </c>
      <c r="F66" s="2">
        <f>+H38</f>
        <v>47.625</v>
      </c>
      <c r="G66" s="56">
        <v>4</v>
      </c>
      <c r="H66" s="15">
        <f t="shared" si="122"/>
        <v>47.015000000000001</v>
      </c>
      <c r="I66" s="2">
        <f t="shared" si="122"/>
        <v>80</v>
      </c>
      <c r="J66" s="18">
        <f>+(F66-H66)/I66</f>
        <v>7.6249999999999929E-3</v>
      </c>
      <c r="K66" s="2">
        <f t="shared" si="123"/>
        <v>158</v>
      </c>
      <c r="L66" s="15">
        <f t="shared" si="10"/>
        <v>5.1920402377148429</v>
      </c>
      <c r="M66" s="33">
        <f t="shared" si="112"/>
        <v>5.1920402377148428E-3</v>
      </c>
      <c r="N66" s="33">
        <f t="shared" si="0"/>
        <v>9.5540627508621162E-2</v>
      </c>
      <c r="O66" s="33">
        <f t="shared" si="1"/>
        <v>3.7614420278984713</v>
      </c>
      <c r="P66" s="58">
        <f t="shared" si="12"/>
        <v>6</v>
      </c>
      <c r="Q66" s="55">
        <f>IF(O66&gt;0,VLOOKUP(P66,'$ alcantarillado'!$I$5:$L$22,4,FALSE),"0")</f>
        <v>0.14499999999999999</v>
      </c>
      <c r="R66" s="55">
        <f t="shared" si="2"/>
        <v>1.5793721798551638E-2</v>
      </c>
      <c r="S66" s="35">
        <f t="shared" si="3"/>
        <v>0.32874076825837079</v>
      </c>
      <c r="T66" s="58">
        <f>+IF(S66&gt;$B$13,VLOOKUP(P66,'$ alcantarillado'!$I$6:$N$22,5),P66)</f>
        <v>6</v>
      </c>
      <c r="U66" s="55">
        <f>IF(O66&gt;0,VLOOKUP(T66,'$ alcantarillado'!$I$5:$L$22,4),"0")</f>
        <v>0.14499999999999999</v>
      </c>
      <c r="V66" s="55">
        <f t="shared" si="4"/>
        <v>1.5793721798551638E-2</v>
      </c>
      <c r="W66" s="35">
        <f t="shared" si="97"/>
        <v>0.32874076825837079</v>
      </c>
      <c r="X66" s="35">
        <f t="shared" si="113"/>
        <v>0.95644190974847587</v>
      </c>
      <c r="Y66" s="55">
        <f>IF(T66&gt;0,(VLOOKUP($W66,Relaciones!$A$4:$D$108,2)),"")</f>
        <v>0.74</v>
      </c>
      <c r="Z66" s="35">
        <f t="shared" si="114"/>
        <v>0.70776701321387214</v>
      </c>
      <c r="AA66" s="35">
        <f t="shared" si="115"/>
        <v>0.27640624999999974</v>
      </c>
      <c r="AB66" s="46" t="str">
        <f t="shared" si="116"/>
        <v>OK</v>
      </c>
      <c r="AC66" s="46" t="str">
        <f t="shared" si="117"/>
        <v>OK</v>
      </c>
      <c r="AD66" s="46" t="str">
        <f t="shared" si="118"/>
        <v>OK</v>
      </c>
      <c r="AE66" s="48">
        <f t="shared" si="119"/>
        <v>1</v>
      </c>
      <c r="AF66" s="48">
        <f t="shared" si="119"/>
        <v>1</v>
      </c>
      <c r="AG66" s="48">
        <f t="shared" si="119"/>
        <v>1</v>
      </c>
      <c r="AH66" s="48">
        <f t="shared" si="120"/>
        <v>3</v>
      </c>
      <c r="AI66" s="46">
        <f t="shared" si="121"/>
        <v>0.64500000000000002</v>
      </c>
      <c r="AJ66" s="20">
        <f>IF(AI66&gt;0,I66*VLOOKUP(T66,'$ alcantarillado'!$I$6:$K$22,3),0)</f>
        <v>1912173.3333333335</v>
      </c>
      <c r="AK66" s="20">
        <f t="shared" si="70"/>
        <v>2628504.0000000047</v>
      </c>
      <c r="AL66" s="20">
        <f t="shared" si="71"/>
        <v>1200527.3200000019</v>
      </c>
      <c r="AM66" s="20">
        <f t="shared" si="22"/>
        <v>5741204.6533333398</v>
      </c>
      <c r="AN66" s="50">
        <f>+AP38</f>
        <v>4898961.7783333398</v>
      </c>
      <c r="AO66" s="78">
        <f t="shared" si="82"/>
        <v>10640166.43166668</v>
      </c>
      <c r="AP66" s="215"/>
      <c r="AQ66" s="2"/>
      <c r="AR66" s="9"/>
    </row>
    <row r="67" spans="1:44" ht="15.75" thickBot="1" x14ac:dyDescent="0.3">
      <c r="A67" s="211"/>
      <c r="B67" s="211"/>
      <c r="C67" s="211"/>
      <c r="D67" s="211"/>
      <c r="E67" s="6">
        <v>5</v>
      </c>
      <c r="F67" s="16">
        <f>+H43</f>
        <v>47.5</v>
      </c>
      <c r="G67" s="6">
        <v>4</v>
      </c>
      <c r="H67" s="16">
        <f>+H66</f>
        <v>47.015000000000001</v>
      </c>
      <c r="I67" s="10">
        <f>+I66</f>
        <v>80</v>
      </c>
      <c r="J67" s="19">
        <f t="shared" si="9"/>
        <v>6.0624999999999932E-3</v>
      </c>
      <c r="K67" s="10">
        <f>+K66</f>
        <v>158</v>
      </c>
      <c r="L67" s="16">
        <f t="shared" si="10"/>
        <v>5.1920402377148429</v>
      </c>
      <c r="M67" s="34">
        <f t="shared" si="112"/>
        <v>5.1920402377148428E-3</v>
      </c>
      <c r="N67" s="34">
        <f t="shared" si="0"/>
        <v>9.9738046437711433E-2</v>
      </c>
      <c r="O67" s="34">
        <f t="shared" si="1"/>
        <v>3.9266947416421827</v>
      </c>
      <c r="P67" s="59">
        <f t="shared" si="12"/>
        <v>6</v>
      </c>
      <c r="Q67" s="55">
        <f>IF(O67&gt;0,VLOOKUP(P67,'$ alcantarillado'!$I$5:$L$22,4,FALSE),"0")</f>
        <v>0.14499999999999999</v>
      </c>
      <c r="R67" s="47">
        <f t="shared" si="2"/>
        <v>1.4082846175241982E-2</v>
      </c>
      <c r="S67" s="35">
        <f t="shared" si="3"/>
        <v>0.36867833200099759</v>
      </c>
      <c r="T67" s="58">
        <f>+IF(S67&gt;$B$13,VLOOKUP(P67,'$ alcantarillado'!$I$6:$N$22,5),P67)</f>
        <v>6</v>
      </c>
      <c r="U67" s="55">
        <f>IF(O67&gt;0,VLOOKUP(T67,'$ alcantarillado'!$I$5:$L$22,4),"0")</f>
        <v>0.14499999999999999</v>
      </c>
      <c r="V67" s="55">
        <f t="shared" si="4"/>
        <v>1.4082846175241982E-2</v>
      </c>
      <c r="W67" s="35">
        <f t="shared" si="97"/>
        <v>0.36867833200099759</v>
      </c>
      <c r="X67" s="35">
        <f t="shared" si="113"/>
        <v>0.8528340857427078</v>
      </c>
      <c r="Y67" s="55">
        <f>IF(T67&gt;0,(VLOOKUP($W67,Relaciones!$A$4:$D$108,2)),"")</f>
        <v>0.76800000000000002</v>
      </c>
      <c r="Z67" s="35">
        <f t="shared" si="114"/>
        <v>0.65497657785039964</v>
      </c>
      <c r="AA67" s="35">
        <f t="shared" si="115"/>
        <v>0.21976562499999974</v>
      </c>
      <c r="AB67" s="46" t="str">
        <f t="shared" si="116"/>
        <v>OK</v>
      </c>
      <c r="AC67" s="46" t="str">
        <f t="shared" si="117"/>
        <v>OK</v>
      </c>
      <c r="AD67" s="46" t="str">
        <f t="shared" si="118"/>
        <v>OK</v>
      </c>
      <c r="AE67" s="48">
        <f t="shared" si="119"/>
        <v>1</v>
      </c>
      <c r="AF67" s="48">
        <f t="shared" si="119"/>
        <v>1</v>
      </c>
      <c r="AG67" s="48">
        <f t="shared" si="119"/>
        <v>1</v>
      </c>
      <c r="AH67" s="48">
        <f t="shared" si="120"/>
        <v>3</v>
      </c>
      <c r="AI67" s="46">
        <f t="shared" si="121"/>
        <v>0.64500000000000002</v>
      </c>
      <c r="AJ67" s="22">
        <f>IF(AI67&gt;0,I67*VLOOKUP(T67,'$ alcantarillado'!$I$6:$K$22,3),0)</f>
        <v>1912173.3333333335</v>
      </c>
      <c r="AK67" s="20">
        <f t="shared" si="70"/>
        <v>2744604.0000000042</v>
      </c>
      <c r="AL67" s="20">
        <f t="shared" si="71"/>
        <v>1287774.9450000019</v>
      </c>
      <c r="AM67" s="22">
        <f t="shared" si="22"/>
        <v>5944552.2783333398</v>
      </c>
      <c r="AN67" s="51">
        <f>+AP43</f>
        <v>4957011.7783333398</v>
      </c>
      <c r="AO67" s="79">
        <f t="shared" si="82"/>
        <v>10901564.05666668</v>
      </c>
      <c r="AP67" s="216"/>
      <c r="AQ67" s="10"/>
      <c r="AR67" s="11"/>
    </row>
    <row r="68" spans="1:44" x14ac:dyDescent="0.25">
      <c r="A68" s="211"/>
      <c r="B68" s="211"/>
      <c r="C68" s="211"/>
      <c r="D68" s="211"/>
      <c r="E68" s="4">
        <v>1</v>
      </c>
      <c r="F68" s="7">
        <f>+H23</f>
        <v>48</v>
      </c>
      <c r="G68" s="4">
        <v>5</v>
      </c>
      <c r="H68" s="14">
        <f>+H58-2*$B$15</f>
        <v>46.89</v>
      </c>
      <c r="I68" s="12">
        <f>+I63</f>
        <v>80</v>
      </c>
      <c r="J68" s="18">
        <f>+(F68-H68)/I68</f>
        <v>1.3874999999999993E-2</v>
      </c>
      <c r="K68" s="12">
        <f>+K63</f>
        <v>158</v>
      </c>
      <c r="L68" s="14">
        <f>IF(K68&lt;38,K68^0.3686*0.7401,IF(K68&lt;235,K68^0.4193*0.6215,IF(K68&lt;932,K68*0.0092+4.2493,K68*0.0069+6.7345)))</f>
        <v>5.1920402377148429</v>
      </c>
      <c r="M68" s="31">
        <f>+L68/1000</f>
        <v>5.1920402377148428E-3</v>
      </c>
      <c r="N68" s="31">
        <f t="shared" si="0"/>
        <v>8.5396363058151126E-2</v>
      </c>
      <c r="O68" s="31">
        <f t="shared" si="1"/>
        <v>3.3620615377224854</v>
      </c>
      <c r="P68" s="57">
        <f t="shared" si="12"/>
        <v>6</v>
      </c>
      <c r="Q68" s="60">
        <f>IF(O68&gt;0,VLOOKUP(P68,'$ alcantarillado'!$I$5:$L$22,4,FALSE),"0")</f>
        <v>0.14499999999999999</v>
      </c>
      <c r="R68" s="60">
        <f t="shared" si="2"/>
        <v>2.130497631231059E-2</v>
      </c>
      <c r="S68" s="27">
        <f t="shared" si="3"/>
        <v>0.24370082189271161</v>
      </c>
      <c r="T68" s="57">
        <f>+IF(S68&gt;$B$13,VLOOKUP(P68,'$ alcantarillado'!$I$6:$N$22,5),P68)</f>
        <v>6</v>
      </c>
      <c r="U68" s="60">
        <f>IF(O68&gt;0,VLOOKUP(T68,'$ alcantarillado'!$I$5:$L$22,4),"0")</f>
        <v>0.14499999999999999</v>
      </c>
      <c r="V68" s="60">
        <f t="shared" si="4"/>
        <v>2.130497631231059E-2</v>
      </c>
      <c r="W68" s="27">
        <f t="shared" si="97"/>
        <v>0.24370082189271161</v>
      </c>
      <c r="X68" s="27">
        <f>IF(T68&gt;0,4*V68/(PI()*(U68)^2),"")</f>
        <v>1.2901944513902386</v>
      </c>
      <c r="Y68" s="60">
        <f>IF(T68&gt;0,(VLOOKUP($W68,Relaciones!$A$4:$D$108,2)),"")</f>
        <v>0.68700000000000006</v>
      </c>
      <c r="Z68" s="27">
        <f>IF(T68&gt;0,Y68*X68,"")</f>
        <v>0.88636358810509397</v>
      </c>
      <c r="AA68" s="27">
        <f>IF(T68&gt;0,250*U68*J68,"")</f>
        <v>0.50296874999999974</v>
      </c>
      <c r="AB68" s="45" t="str">
        <f>IF(T68&gt;0,IF(W68&lt;=$B$13,"OK","No Cumple"),"")</f>
        <v>OK</v>
      </c>
      <c r="AC68" s="45" t="str">
        <f>IF(T68&gt;0,IF(Z68&gt;=$B$12,"OK","No Cumple"),"")</f>
        <v>OK</v>
      </c>
      <c r="AD68" s="45" t="str">
        <f>IF(T68&gt;0,IF(AA68&gt;$B$14,"OK","No Cumple"),"")</f>
        <v>OK</v>
      </c>
      <c r="AE68" s="32">
        <f>+IF(AB68="OK",1,0)</f>
        <v>1</v>
      </c>
      <c r="AF68" s="32">
        <f>+IF(AC68="OK",1,0)</f>
        <v>1</v>
      </c>
      <c r="AG68" s="32">
        <f>+IF(AD68="OK",1,0)</f>
        <v>1</v>
      </c>
      <c r="AH68" s="32">
        <f>SUM(AE68:AG68)</f>
        <v>3</v>
      </c>
      <c r="AI68" s="45">
        <f>IF(AH68=3,2*$B$7+U68,0)</f>
        <v>0.64500000000000002</v>
      </c>
      <c r="AJ68" s="21">
        <f>IF(AI68&gt;0,I68*VLOOKUP(T68,'$ alcantarillado'!$I$6:$K$22,3),0)</f>
        <v>1912173.3333333335</v>
      </c>
      <c r="AK68" s="21">
        <f t="shared" si="70"/>
        <v>2338254.0000000047</v>
      </c>
      <c r="AL68" s="21">
        <f t="shared" si="71"/>
        <v>938784.44500000204</v>
      </c>
      <c r="AM68" s="21">
        <f>IF(AJ68&gt;0,AJ68+AK68+AL68,0)</f>
        <v>5189211.7783333398</v>
      </c>
      <c r="AN68" s="49">
        <f>IF(AP23&gt;0,+AP23,0)</f>
        <v>0</v>
      </c>
      <c r="AO68" s="77" t="str">
        <f>IF((AM68)&gt;0,IF(AN68&gt;0,AM68+AN68,""),"")</f>
        <v/>
      </c>
      <c r="AP68" s="213">
        <f>+MIN(AO68:AO72)</f>
        <v>10436818.80666668</v>
      </c>
      <c r="AQ68" s="2"/>
      <c r="AR68" s="9"/>
    </row>
    <row r="69" spans="1:44" x14ac:dyDescent="0.25">
      <c r="A69" s="211"/>
      <c r="B69" s="211"/>
      <c r="C69" s="211"/>
      <c r="D69" s="211"/>
      <c r="E69" s="5">
        <v>2</v>
      </c>
      <c r="F69" s="2">
        <f>+H28</f>
        <v>47.875</v>
      </c>
      <c r="G69" s="5">
        <v>5</v>
      </c>
      <c r="H69" s="15">
        <f>+H68</f>
        <v>46.89</v>
      </c>
      <c r="I69" s="2">
        <f>+I68</f>
        <v>80</v>
      </c>
      <c r="J69" s="18">
        <f t="shared" si="9"/>
        <v>1.2312499999999994E-2</v>
      </c>
      <c r="K69" s="2">
        <f>+K68</f>
        <v>158</v>
      </c>
      <c r="L69" s="15">
        <f t="shared" si="10"/>
        <v>5.1920402377148429</v>
      </c>
      <c r="M69" s="33">
        <f t="shared" ref="M69:M72" si="124">+L69/1000</f>
        <v>5.1920402377148428E-3</v>
      </c>
      <c r="N69" s="33">
        <f t="shared" si="0"/>
        <v>8.7330941097919015E-2</v>
      </c>
      <c r="O69" s="33">
        <f t="shared" si="1"/>
        <v>3.4382260274771266</v>
      </c>
      <c r="P69" s="58">
        <f t="shared" si="12"/>
        <v>6</v>
      </c>
      <c r="Q69" s="55">
        <f>IF(O69&gt;0,VLOOKUP(P69,'$ alcantarillado'!$I$5:$L$22,4,FALSE),"0")</f>
        <v>0.14499999999999999</v>
      </c>
      <c r="R69" s="55">
        <f t="shared" si="2"/>
        <v>2.006955215777367E-2</v>
      </c>
      <c r="S69" s="35">
        <f t="shared" si="3"/>
        <v>0.25870234656450847</v>
      </c>
      <c r="T69" s="58">
        <f>+IF(S69&gt;$B$13,VLOOKUP(P69,'$ alcantarillado'!$I$6:$N$22,5),P69)</f>
        <v>6</v>
      </c>
      <c r="U69" s="55">
        <f>IF(O69&gt;0,VLOOKUP(T69,'$ alcantarillado'!$I$5:$L$22,4),"0")</f>
        <v>0.14499999999999999</v>
      </c>
      <c r="V69" s="55">
        <f t="shared" si="4"/>
        <v>2.006955215777367E-2</v>
      </c>
      <c r="W69" s="35">
        <f t="shared" si="97"/>
        <v>0.25870234656450847</v>
      </c>
      <c r="X69" s="35">
        <f t="shared" ref="X69:X72" si="125">IF(T69&gt;0,4*V69/(PI()*(U69)^2),"")</f>
        <v>1.2153791891749037</v>
      </c>
      <c r="Y69" s="55">
        <f>IF(T69&gt;0,(VLOOKUP($W69,Relaciones!$A$4:$D$108,2)),"")</f>
        <v>0.69499999999999995</v>
      </c>
      <c r="Z69" s="35">
        <f t="shared" ref="Z69:Z72" si="126">IF(T69&gt;0,Y69*X69,"")</f>
        <v>0.84468853647655806</v>
      </c>
      <c r="AA69" s="35">
        <f t="shared" ref="AA69:AA72" si="127">IF(T69&gt;0,250*U69*J69,"")</f>
        <v>0.44632812499999974</v>
      </c>
      <c r="AB69" s="46" t="str">
        <f t="shared" ref="AB69:AB72" si="128">IF(T69&gt;0,IF(W69&lt;=$B$13,"OK","No Cumple"),"")</f>
        <v>OK</v>
      </c>
      <c r="AC69" s="46" t="str">
        <f t="shared" ref="AC69:AC72" si="129">IF(T69&gt;0,IF(Z69&gt;=$B$12,"OK","No Cumple"),"")</f>
        <v>OK</v>
      </c>
      <c r="AD69" s="46" t="str">
        <f t="shared" ref="AD69:AD72" si="130">IF(T69&gt;0,IF(AA69&gt;$B$14,"OK","No Cumple"),"")</f>
        <v>OK</v>
      </c>
      <c r="AE69" s="48">
        <f t="shared" ref="AE69:AG72" si="131">+IF(AB69="OK",1,0)</f>
        <v>1</v>
      </c>
      <c r="AF69" s="48">
        <f t="shared" si="131"/>
        <v>1</v>
      </c>
      <c r="AG69" s="48">
        <f t="shared" si="131"/>
        <v>1</v>
      </c>
      <c r="AH69" s="48">
        <f t="shared" ref="AH69:AH72" si="132">SUM(AE69:AG69)</f>
        <v>3</v>
      </c>
      <c r="AI69" s="46">
        <f t="shared" ref="AI69:AI72" si="133">IF(AH69=3,2*$B$7+U69,0)</f>
        <v>0.64500000000000002</v>
      </c>
      <c r="AJ69" s="20">
        <f>IF(AI69&gt;0,I69*VLOOKUP(T69,'$ alcantarillado'!$I$6:$K$22,3),0)</f>
        <v>1912173.3333333335</v>
      </c>
      <c r="AK69" s="20">
        <f t="shared" si="70"/>
        <v>2454354.0000000042</v>
      </c>
      <c r="AL69" s="20">
        <f t="shared" si="71"/>
        <v>1026032.070000002</v>
      </c>
      <c r="AM69" s="20">
        <f t="shared" si="22"/>
        <v>5392559.4033333398</v>
      </c>
      <c r="AN69" s="50">
        <f>+AP28</f>
        <v>0</v>
      </c>
      <c r="AO69" s="78" t="str">
        <f t="shared" si="82"/>
        <v/>
      </c>
      <c r="AP69" s="214"/>
      <c r="AQ69" s="2"/>
      <c r="AR69" s="9"/>
    </row>
    <row r="70" spans="1:44" x14ac:dyDescent="0.25">
      <c r="A70" s="211"/>
      <c r="B70" s="211"/>
      <c r="C70" s="211"/>
      <c r="D70" s="211"/>
      <c r="E70" s="56">
        <v>3</v>
      </c>
      <c r="F70" s="2">
        <f>+H33</f>
        <v>47.75</v>
      </c>
      <c r="G70" s="56">
        <v>5</v>
      </c>
      <c r="H70" s="15">
        <f t="shared" ref="H70:I71" si="134">+H69</f>
        <v>46.89</v>
      </c>
      <c r="I70" s="2">
        <f t="shared" si="134"/>
        <v>80</v>
      </c>
      <c r="J70" s="18">
        <f t="shared" si="9"/>
        <v>1.0749999999999992E-2</v>
      </c>
      <c r="K70" s="2">
        <f t="shared" ref="K70:K71" si="135">+K69</f>
        <v>158</v>
      </c>
      <c r="L70" s="15">
        <f t="shared" si="10"/>
        <v>5.1920402377148429</v>
      </c>
      <c r="M70" s="33">
        <f t="shared" si="124"/>
        <v>5.1920402377148428E-3</v>
      </c>
      <c r="N70" s="33">
        <f t="shared" si="0"/>
        <v>8.9581632759616031E-2</v>
      </c>
      <c r="O70" s="33">
        <f t="shared" si="1"/>
        <v>3.5268359354179539</v>
      </c>
      <c r="P70" s="58">
        <f t="shared" si="12"/>
        <v>6</v>
      </c>
      <c r="Q70" s="55">
        <f>IF(O70&gt;0,VLOOKUP(P70,'$ alcantarillado'!$I$5:$L$22,4,FALSE),"0")</f>
        <v>0.14499999999999999</v>
      </c>
      <c r="R70" s="55">
        <f t="shared" si="2"/>
        <v>1.8752915292270699E-2</v>
      </c>
      <c r="S70" s="35">
        <f t="shared" si="3"/>
        <v>0.27686576496481169</v>
      </c>
      <c r="T70" s="58">
        <f>+IF(S70&gt;$B$13,VLOOKUP(P70,'$ alcantarillado'!$I$6:$N$22,5),P70)</f>
        <v>6</v>
      </c>
      <c r="U70" s="55">
        <f>IF(O70&gt;0,VLOOKUP(T70,'$ alcantarillado'!$I$5:$L$22,4),"0")</f>
        <v>0.14499999999999999</v>
      </c>
      <c r="V70" s="55">
        <f t="shared" si="4"/>
        <v>1.8752915292270699E-2</v>
      </c>
      <c r="W70" s="35">
        <f t="shared" si="97"/>
        <v>0.27686576496481169</v>
      </c>
      <c r="X70" s="35">
        <f t="shared" si="125"/>
        <v>1.1356458182729046</v>
      </c>
      <c r="Y70" s="55">
        <f>IF(T70&gt;0,(VLOOKUP($W70,Relaciones!$A$4:$D$108,2)),"")</f>
        <v>0.70599999999999996</v>
      </c>
      <c r="Z70" s="35">
        <f t="shared" si="126"/>
        <v>0.80176594770067056</v>
      </c>
      <c r="AA70" s="35">
        <f t="shared" si="127"/>
        <v>0.38968749999999974</v>
      </c>
      <c r="AB70" s="46" t="str">
        <f t="shared" si="128"/>
        <v>OK</v>
      </c>
      <c r="AC70" s="46" t="str">
        <f t="shared" si="129"/>
        <v>OK</v>
      </c>
      <c r="AD70" s="46" t="str">
        <f t="shared" si="130"/>
        <v>OK</v>
      </c>
      <c r="AE70" s="48">
        <f t="shared" si="131"/>
        <v>1</v>
      </c>
      <c r="AF70" s="48">
        <f t="shared" si="131"/>
        <v>1</v>
      </c>
      <c r="AG70" s="48">
        <f t="shared" si="131"/>
        <v>1</v>
      </c>
      <c r="AH70" s="48">
        <f t="shared" si="132"/>
        <v>3</v>
      </c>
      <c r="AI70" s="46">
        <f t="shared" si="133"/>
        <v>0.64500000000000002</v>
      </c>
      <c r="AJ70" s="20">
        <f>IF(AI70&gt;0,I70*VLOOKUP(T70,'$ alcantarillado'!$I$6:$K$22,3),0)</f>
        <v>1912173.3333333335</v>
      </c>
      <c r="AK70" s="20">
        <f t="shared" si="70"/>
        <v>2570454.0000000042</v>
      </c>
      <c r="AL70" s="20">
        <f t="shared" si="71"/>
        <v>1113279.6950000019</v>
      </c>
      <c r="AM70" s="20">
        <f t="shared" si="22"/>
        <v>5595907.0283333398</v>
      </c>
      <c r="AN70" s="50">
        <f>+AP33</f>
        <v>4840911.7783333398</v>
      </c>
      <c r="AO70" s="78">
        <f t="shared" si="82"/>
        <v>10436818.80666668</v>
      </c>
      <c r="AP70" s="215"/>
      <c r="AQ70" s="2">
        <v>3</v>
      </c>
      <c r="AR70" s="9">
        <v>5</v>
      </c>
    </row>
    <row r="71" spans="1:44" x14ac:dyDescent="0.25">
      <c r="A71" s="211"/>
      <c r="B71" s="211"/>
      <c r="C71" s="211"/>
      <c r="D71" s="211"/>
      <c r="E71" s="56">
        <v>4</v>
      </c>
      <c r="F71" s="2">
        <f>+H38</f>
        <v>47.625</v>
      </c>
      <c r="G71" s="56">
        <v>5</v>
      </c>
      <c r="H71" s="15">
        <f t="shared" si="134"/>
        <v>46.89</v>
      </c>
      <c r="I71" s="2">
        <f t="shared" si="134"/>
        <v>80</v>
      </c>
      <c r="J71" s="18">
        <f>+(F71-H71)/I71</f>
        <v>9.1874999999999925E-3</v>
      </c>
      <c r="K71" s="2">
        <f t="shared" si="135"/>
        <v>158</v>
      </c>
      <c r="L71" s="15">
        <f t="shared" si="10"/>
        <v>5.1920402377148429</v>
      </c>
      <c r="M71" s="33">
        <f t="shared" si="124"/>
        <v>5.1920402377148428E-3</v>
      </c>
      <c r="N71" s="33">
        <f t="shared" si="0"/>
        <v>9.2258960576735272E-2</v>
      </c>
      <c r="O71" s="33">
        <f t="shared" si="1"/>
        <v>3.6322425423911526</v>
      </c>
      <c r="P71" s="58">
        <f t="shared" si="12"/>
        <v>6</v>
      </c>
      <c r="Q71" s="55">
        <f>IF(O71&gt;0,VLOOKUP(P71,'$ alcantarillado'!$I$5:$L$22,4,FALSE),"0")</f>
        <v>0.14499999999999999</v>
      </c>
      <c r="R71" s="55">
        <f t="shared" si="2"/>
        <v>1.7336572328593754E-2</v>
      </c>
      <c r="S71" s="35">
        <f t="shared" si="3"/>
        <v>0.29948481968096125</v>
      </c>
      <c r="T71" s="58">
        <f>+IF(S71&gt;$B$13,VLOOKUP(P71,'$ alcantarillado'!$I$6:$N$22,5),P71)</f>
        <v>6</v>
      </c>
      <c r="U71" s="55">
        <f>IF(O71&gt;0,VLOOKUP(T71,'$ alcantarillado'!$I$5:$L$22,4),"0")</f>
        <v>0.14499999999999999</v>
      </c>
      <c r="V71" s="55">
        <f t="shared" si="4"/>
        <v>1.7336572328593754E-2</v>
      </c>
      <c r="W71" s="35">
        <f t="shared" si="97"/>
        <v>0.29948481968096125</v>
      </c>
      <c r="X71" s="35">
        <f t="shared" si="125"/>
        <v>1.0498744094614476</v>
      </c>
      <c r="Y71" s="55">
        <f>IF(T71&gt;0,(VLOOKUP($W71,Relaciones!$A$4:$D$108,2)),"")</f>
        <v>0.72</v>
      </c>
      <c r="Z71" s="35">
        <f t="shared" si="126"/>
        <v>0.7559095748122423</v>
      </c>
      <c r="AA71" s="35">
        <f t="shared" si="127"/>
        <v>0.33304687499999974</v>
      </c>
      <c r="AB71" s="46" t="str">
        <f t="shared" si="128"/>
        <v>OK</v>
      </c>
      <c r="AC71" s="46" t="str">
        <f t="shared" si="129"/>
        <v>OK</v>
      </c>
      <c r="AD71" s="46" t="str">
        <f t="shared" si="130"/>
        <v>OK</v>
      </c>
      <c r="AE71" s="48">
        <f t="shared" si="131"/>
        <v>1</v>
      </c>
      <c r="AF71" s="48">
        <f t="shared" si="131"/>
        <v>1</v>
      </c>
      <c r="AG71" s="48">
        <f t="shared" si="131"/>
        <v>1</v>
      </c>
      <c r="AH71" s="48">
        <f t="shared" si="132"/>
        <v>3</v>
      </c>
      <c r="AI71" s="46">
        <f t="shared" si="133"/>
        <v>0.64500000000000002</v>
      </c>
      <c r="AJ71" s="20">
        <f>IF(AI71&gt;0,I71*VLOOKUP(T71,'$ alcantarillado'!$I$6:$K$22,3),0)</f>
        <v>1912173.3333333335</v>
      </c>
      <c r="AK71" s="20">
        <f t="shared" si="70"/>
        <v>2686554.0000000042</v>
      </c>
      <c r="AL71" s="20">
        <f t="shared" si="71"/>
        <v>1200527.3200000019</v>
      </c>
      <c r="AM71" s="20">
        <f t="shared" si="22"/>
        <v>5799254.6533333398</v>
      </c>
      <c r="AN71" s="50">
        <f>+AP38</f>
        <v>4898961.7783333398</v>
      </c>
      <c r="AO71" s="78">
        <f t="shared" si="82"/>
        <v>10698216.43166668</v>
      </c>
      <c r="AP71" s="215"/>
      <c r="AQ71" s="2"/>
      <c r="AR71" s="9"/>
    </row>
    <row r="72" spans="1:44" ht="15.75" thickBot="1" x14ac:dyDescent="0.3">
      <c r="A72" s="212"/>
      <c r="B72" s="212"/>
      <c r="C72" s="212"/>
      <c r="D72" s="212"/>
      <c r="E72" s="6">
        <v>5</v>
      </c>
      <c r="F72" s="16">
        <f>+H43</f>
        <v>47.5</v>
      </c>
      <c r="G72" s="6">
        <v>5</v>
      </c>
      <c r="H72" s="16">
        <f>+H71</f>
        <v>46.89</v>
      </c>
      <c r="I72" s="10">
        <f>+I71</f>
        <v>80</v>
      </c>
      <c r="J72" s="19">
        <f t="shared" si="9"/>
        <v>7.6249999999999929E-3</v>
      </c>
      <c r="K72" s="10">
        <f>+K71</f>
        <v>158</v>
      </c>
      <c r="L72" s="16">
        <f t="shared" si="10"/>
        <v>5.1920402377148429</v>
      </c>
      <c r="M72" s="34">
        <f t="shared" si="124"/>
        <v>5.1920402377148428E-3</v>
      </c>
      <c r="N72" s="34">
        <f t="shared" si="0"/>
        <v>9.5540627508621162E-2</v>
      </c>
      <c r="O72" s="34">
        <f t="shared" si="1"/>
        <v>3.7614420278984713</v>
      </c>
      <c r="P72" s="59">
        <f t="shared" si="12"/>
        <v>6</v>
      </c>
      <c r="Q72" s="55">
        <f>IF(O72&gt;0,VLOOKUP(P72,'$ alcantarillado'!$I$5:$L$22,4,FALSE),"0")</f>
        <v>0.14499999999999999</v>
      </c>
      <c r="R72" s="47">
        <f t="shared" si="2"/>
        <v>1.5793721798551638E-2</v>
      </c>
      <c r="S72" s="35">
        <f t="shared" si="3"/>
        <v>0.32874076825837079</v>
      </c>
      <c r="T72" s="58">
        <f>+IF(S72&gt;$B$13,VLOOKUP(P72,'$ alcantarillado'!$I$6:$N$22,5),P72)</f>
        <v>6</v>
      </c>
      <c r="U72" s="55">
        <f>IF(O72&gt;0,VLOOKUP(T72,'$ alcantarillado'!$I$5:$L$22,4),"0")</f>
        <v>0.14499999999999999</v>
      </c>
      <c r="V72" s="55">
        <f t="shared" si="4"/>
        <v>1.5793721798551638E-2</v>
      </c>
      <c r="W72" s="35">
        <f t="shared" si="97"/>
        <v>0.32874076825837079</v>
      </c>
      <c r="X72" s="35">
        <f t="shared" si="125"/>
        <v>0.95644190974847587</v>
      </c>
      <c r="Y72" s="55">
        <f>IF(T72&gt;0,(VLOOKUP($W72,Relaciones!$A$4:$D$108,2)),"")</f>
        <v>0.74</v>
      </c>
      <c r="Z72" s="35">
        <f t="shared" si="126"/>
        <v>0.70776701321387214</v>
      </c>
      <c r="AA72" s="35">
        <f t="shared" si="127"/>
        <v>0.27640624999999974</v>
      </c>
      <c r="AB72" s="46" t="str">
        <f t="shared" si="128"/>
        <v>OK</v>
      </c>
      <c r="AC72" s="46" t="str">
        <f t="shared" si="129"/>
        <v>OK</v>
      </c>
      <c r="AD72" s="46" t="str">
        <f t="shared" si="130"/>
        <v>OK</v>
      </c>
      <c r="AE72" s="48">
        <f t="shared" si="131"/>
        <v>1</v>
      </c>
      <c r="AF72" s="48">
        <f t="shared" si="131"/>
        <v>1</v>
      </c>
      <c r="AG72" s="48">
        <f t="shared" si="131"/>
        <v>1</v>
      </c>
      <c r="AH72" s="48">
        <f t="shared" si="132"/>
        <v>3</v>
      </c>
      <c r="AI72" s="46">
        <f t="shared" si="133"/>
        <v>0.64500000000000002</v>
      </c>
      <c r="AJ72" s="22">
        <f>IF(AI72&gt;0,I72*VLOOKUP(T72,'$ alcantarillado'!$I$6:$K$22,3),0)</f>
        <v>1912173.3333333335</v>
      </c>
      <c r="AK72" s="20">
        <f t="shared" si="70"/>
        <v>2802654.0000000047</v>
      </c>
      <c r="AL72" s="20">
        <f t="shared" si="71"/>
        <v>1287774.9450000019</v>
      </c>
      <c r="AM72" s="22">
        <f t="shared" si="22"/>
        <v>6002602.2783333398</v>
      </c>
      <c r="AN72" s="51">
        <f>+AP43</f>
        <v>4957011.7783333398</v>
      </c>
      <c r="AO72" s="79">
        <f t="shared" si="82"/>
        <v>10959614.05666668</v>
      </c>
      <c r="AP72" s="216"/>
      <c r="AQ72" s="2"/>
      <c r="AR72" s="9"/>
    </row>
    <row r="73" spans="1:44" x14ac:dyDescent="0.25">
      <c r="A73" s="229">
        <v>3</v>
      </c>
      <c r="B73" s="229">
        <v>5</v>
      </c>
      <c r="C73" s="229">
        <v>6</v>
      </c>
      <c r="D73" s="229">
        <v>49.09</v>
      </c>
      <c r="E73" s="127">
        <v>1</v>
      </c>
      <c r="F73" s="189">
        <f>IF(H48&lt;H176,H48,H176)</f>
        <v>47.14</v>
      </c>
      <c r="G73" s="127">
        <v>1</v>
      </c>
      <c r="H73" s="136">
        <f>+H83+2*$B$15</f>
        <v>46.89</v>
      </c>
      <c r="I73" s="129">
        <v>80</v>
      </c>
      <c r="J73" s="130">
        <f>+(F73-H73)/I73</f>
        <v>3.1250000000000002E-3</v>
      </c>
      <c r="K73" s="131">
        <f>+K48+(K176)+H4</f>
        <v>1264</v>
      </c>
      <c r="L73" s="132">
        <f>IF(K73&lt;38,K73^0.3686*0.7401,IF(K73&lt;235,K73^0.4193*0.6215,IF(K73&lt;932,K73*0.0092+4.2493,K73*0.0069+6.7345)))</f>
        <v>15.456099999999999</v>
      </c>
      <c r="M73" s="133">
        <f>+L73/1000</f>
        <v>1.5456099999999999E-2</v>
      </c>
      <c r="N73" s="133">
        <f t="shared" si="0"/>
        <v>0.17001388158888045</v>
      </c>
      <c r="O73" s="133">
        <f t="shared" si="1"/>
        <v>6.6934599050740333</v>
      </c>
      <c r="P73" s="134">
        <f t="shared" si="12"/>
        <v>8</v>
      </c>
      <c r="Q73" s="135">
        <f>IF(O73&gt;0,VLOOKUP(P73,'$ alcantarillado'!$I$5:$L$22,4,FALSE),"0")</f>
        <v>0.182</v>
      </c>
      <c r="R73" s="135">
        <f t="shared" si="2"/>
        <v>1.8535256452762897E-2</v>
      </c>
      <c r="S73" s="136">
        <f t="shared" si="3"/>
        <v>0.83387570273925649</v>
      </c>
      <c r="T73" s="134">
        <f>+IF(S73&gt;$B$13,VLOOKUP(P73,'$ alcantarillado'!$I$6:$N$22,5),P73)</f>
        <v>8</v>
      </c>
      <c r="U73" s="135">
        <f>IF(O73&gt;0,VLOOKUP(T73,'$ alcantarillado'!$I$5:$L$22,4),"0")</f>
        <v>0.182</v>
      </c>
      <c r="V73" s="135">
        <f t="shared" si="4"/>
        <v>1.8535256452762897E-2</v>
      </c>
      <c r="W73" s="136">
        <f t="shared" si="97"/>
        <v>0.83387570273925649</v>
      </c>
      <c r="X73" s="136">
        <f>IF(T73&gt;0,4*V73/(PI()*(U73)^2),"")</f>
        <v>0.71246894962762097</v>
      </c>
      <c r="Y73" s="135">
        <f>IF(T73&gt;0,(VLOOKUP($W73,Relaciones!$A$4:$D$108,2)),"")</f>
        <v>0.99299999999999999</v>
      </c>
      <c r="Z73" s="136">
        <f>IF(T73&gt;0,Y73*X73,"")</f>
        <v>0.70748166698022763</v>
      </c>
      <c r="AA73" s="136">
        <f>IF(T73&gt;0,250*U73*J73,"")</f>
        <v>0.14218749999999999</v>
      </c>
      <c r="AB73" s="137" t="str">
        <f>IF(T73&gt;0,IF(W73&lt;=$B$13,"OK","No Cumple"),"")</f>
        <v>OK</v>
      </c>
      <c r="AC73" s="137" t="str">
        <f>IF(T73&gt;0,IF(Z73&gt;=$B$12,"OK","No Cumple"),"")</f>
        <v>OK</v>
      </c>
      <c r="AD73" s="137" t="str">
        <f>IF(T73&gt;0,IF(AA73&gt;$B$14,"OK","No Cumple"),"")</f>
        <v>No Cumple</v>
      </c>
      <c r="AE73" s="138">
        <f>+IF(AB73="OK",1,0)</f>
        <v>1</v>
      </c>
      <c r="AF73" s="138">
        <f>+IF(AC73="OK",1,0)</f>
        <v>1</v>
      </c>
      <c r="AG73" s="138">
        <f>+IF(AD73="OK",1,0)</f>
        <v>0</v>
      </c>
      <c r="AH73" s="138">
        <f>SUM(AE73:AG73)</f>
        <v>2</v>
      </c>
      <c r="AI73" s="137">
        <f>IF(AH73=3,2*$B$7+U73,0)</f>
        <v>0</v>
      </c>
      <c r="AJ73" s="139">
        <f>IF(AI73&gt;0,I73*VLOOKUP(T73,'$ alcantarillado'!$I$6:$K$22,3),0)</f>
        <v>0</v>
      </c>
      <c r="AK73" s="139">
        <f t="shared" ref="AK73:AK97" si="136">IF(N73&gt;0,((($D$73-F73)+(U73))+(($D$98-H73)+(U73))/2)*AI73*I73*$C$9,0)</f>
        <v>0</v>
      </c>
      <c r="AL73" s="139">
        <f t="shared" ref="AL73:AL97" si="137">IF(AI73&gt;0,(($D$73-F73)+U73)*$C$10,0)</f>
        <v>0</v>
      </c>
      <c r="AM73" s="139">
        <f>IF(AJ73&gt;0,AJ73+AK73+AL73,0)</f>
        <v>0</v>
      </c>
      <c r="AN73" s="179">
        <f>IF(AP48&gt;0,IF(AP176&gt;0,AP48+AP176,0),0)</f>
        <v>0</v>
      </c>
      <c r="AO73" s="140" t="str">
        <f>IF((AM73)&gt;0,IF(AN73&gt;0,AM73+AN73,""),"")</f>
        <v/>
      </c>
      <c r="AP73" s="225">
        <f>+MIN(AO73:AO77)</f>
        <v>0</v>
      </c>
      <c r="AQ73" s="129"/>
      <c r="AR73" s="163"/>
    </row>
    <row r="74" spans="1:44" x14ac:dyDescent="0.25">
      <c r="A74" s="230"/>
      <c r="B74" s="230"/>
      <c r="C74" s="230"/>
      <c r="D74" s="230"/>
      <c r="E74" s="141">
        <v>2</v>
      </c>
      <c r="F74" s="190">
        <f>IF(H53&lt;H181,H53,H181)</f>
        <v>47.015000000000001</v>
      </c>
      <c r="G74" s="141">
        <v>1</v>
      </c>
      <c r="H74" s="146">
        <f>+H73</f>
        <v>46.89</v>
      </c>
      <c r="I74" s="142">
        <f>+I73</f>
        <v>80</v>
      </c>
      <c r="J74" s="143">
        <f t="shared" si="9"/>
        <v>1.5625000000000001E-3</v>
      </c>
      <c r="K74" s="142">
        <f>+K73</f>
        <v>1264</v>
      </c>
      <c r="L74" s="128">
        <f t="shared" si="10"/>
        <v>15.456099999999999</v>
      </c>
      <c r="M74" s="144">
        <f t="shared" ref="M74:M77" si="138">+L74/1000</f>
        <v>1.5456099999999999E-2</v>
      </c>
      <c r="N74" s="144">
        <f t="shared" si="0"/>
        <v>0.19360987610428701</v>
      </c>
      <c r="O74" s="144">
        <f t="shared" si="1"/>
        <v>7.6224360670979143</v>
      </c>
      <c r="P74" s="145">
        <f t="shared" si="12"/>
        <v>8</v>
      </c>
      <c r="Q74" s="113">
        <f>IF(O74&gt;0,VLOOKUP(P74,'$ alcantarillado'!$I$5:$L$22,4,FALSE),"0")</f>
        <v>0.182</v>
      </c>
      <c r="R74" s="113">
        <f t="shared" si="2"/>
        <v>1.3106405528780356E-2</v>
      </c>
      <c r="S74" s="146">
        <f t="shared" si="3"/>
        <v>1.1792783281472521</v>
      </c>
      <c r="T74" s="145">
        <f>+IF(S74&gt;$B$13,VLOOKUP(P74,'$ alcantarillado'!$I$6:$N$22,5),P74)</f>
        <v>10</v>
      </c>
      <c r="U74" s="113">
        <f>IF(O74&gt;0,VLOOKUP(T74,'$ alcantarillado'!$I$5:$L$22,4),"0")</f>
        <v>0.22700000000000001</v>
      </c>
      <c r="V74" s="113">
        <f t="shared" si="4"/>
        <v>2.3624476083504924E-2</v>
      </c>
      <c r="W74" s="146">
        <f t="shared" si="97"/>
        <v>0.65424096370931817</v>
      </c>
      <c r="X74" s="146">
        <f t="shared" ref="X74:X77" si="139">IF(T74&gt;0,4*V74/(PI()*(U74)^2),"")</f>
        <v>0.5837415275508655</v>
      </c>
      <c r="Y74" s="113">
        <f>IF(T74&gt;0,(VLOOKUP($W74,Relaciones!$A$4:$D$108,2)),"")</f>
        <v>0.92200000000000004</v>
      </c>
      <c r="Z74" s="146">
        <f t="shared" ref="Z74:Z77" si="140">IF(T74&gt;0,Y74*X74,"")</f>
        <v>0.53820968840189798</v>
      </c>
      <c r="AA74" s="146">
        <f t="shared" ref="AA74:AA77" si="141">IF(T74&gt;0,250*U74*J74,"")</f>
        <v>8.8671875000000011E-2</v>
      </c>
      <c r="AB74" s="147" t="str">
        <f t="shared" ref="AB74:AB77" si="142">IF(T74&gt;0,IF(W74&lt;=$B$13,"OK","No Cumple"),"")</f>
        <v>OK</v>
      </c>
      <c r="AC74" s="147" t="str">
        <f t="shared" ref="AC74:AC77" si="143">IF(T74&gt;0,IF(Z74&gt;=$B$12,"OK","No Cumple"),"")</f>
        <v>OK</v>
      </c>
      <c r="AD74" s="147" t="str">
        <f t="shared" ref="AD74:AD77" si="144">IF(T74&gt;0,IF(AA74&gt;$B$14,"OK","No Cumple"),"")</f>
        <v>No Cumple</v>
      </c>
      <c r="AE74" s="148">
        <f t="shared" ref="AE74:AG77" si="145">+IF(AB74="OK",1,0)</f>
        <v>1</v>
      </c>
      <c r="AF74" s="148">
        <f t="shared" si="145"/>
        <v>1</v>
      </c>
      <c r="AG74" s="148">
        <f t="shared" si="145"/>
        <v>0</v>
      </c>
      <c r="AH74" s="148">
        <f t="shared" ref="AH74:AH77" si="146">SUM(AE74:AG74)</f>
        <v>2</v>
      </c>
      <c r="AI74" s="147">
        <f t="shared" ref="AI74:AI77" si="147">IF(AH74=3,2*$B$7+U74,0)</f>
        <v>0</v>
      </c>
      <c r="AJ74" s="149">
        <f>IF(AI74&gt;0,I74*VLOOKUP(T74,'$ alcantarillado'!$I$6:$K$22,3),0)</f>
        <v>0</v>
      </c>
      <c r="AK74" s="149">
        <f t="shared" si="136"/>
        <v>0</v>
      </c>
      <c r="AL74" s="149">
        <f t="shared" si="137"/>
        <v>0</v>
      </c>
      <c r="AM74" s="149">
        <f t="shared" si="22"/>
        <v>0</v>
      </c>
      <c r="AN74" s="180">
        <f>IF(AP53&gt;0,IF(AP181&gt;0,AP53+AP181,0),0)</f>
        <v>23087975.804000024</v>
      </c>
      <c r="AO74" s="161" t="str">
        <f t="shared" si="82"/>
        <v/>
      </c>
      <c r="AP74" s="226"/>
      <c r="AQ74" s="142"/>
      <c r="AR74" s="165"/>
    </row>
    <row r="75" spans="1:44" x14ac:dyDescent="0.25">
      <c r="A75" s="230"/>
      <c r="B75" s="230"/>
      <c r="C75" s="230"/>
      <c r="D75" s="230"/>
      <c r="E75" s="151">
        <v>3</v>
      </c>
      <c r="F75" s="190">
        <f>IF(H58&lt;H186,H58,H186)</f>
        <v>46.89</v>
      </c>
      <c r="G75" s="151">
        <v>1</v>
      </c>
      <c r="H75" s="142">
        <f t="shared" ref="H75:I76" si="148">+H74</f>
        <v>46.89</v>
      </c>
      <c r="I75" s="142">
        <f t="shared" si="148"/>
        <v>80</v>
      </c>
      <c r="J75" s="143">
        <f t="shared" si="9"/>
        <v>0</v>
      </c>
      <c r="K75" s="142">
        <f t="shared" ref="K75:K76" si="149">+K74</f>
        <v>1264</v>
      </c>
      <c r="L75" s="128">
        <f t="shared" si="10"/>
        <v>15.456099999999999</v>
      </c>
      <c r="M75" s="144">
        <f t="shared" si="138"/>
        <v>1.5456099999999999E-2</v>
      </c>
      <c r="N75" s="144">
        <f t="shared" si="0"/>
        <v>0</v>
      </c>
      <c r="O75" s="144">
        <f t="shared" si="1"/>
        <v>0</v>
      </c>
      <c r="P75" s="145">
        <f t="shared" si="12"/>
        <v>0</v>
      </c>
      <c r="Q75" s="113" t="str">
        <f>IF(O75&gt;0,VLOOKUP(P75,'$ alcantarillado'!$I$5:$L$22,4,FALSE),"0")</f>
        <v>0</v>
      </c>
      <c r="R75" s="113" t="str">
        <f t="shared" si="2"/>
        <v/>
      </c>
      <c r="S75" s="146">
        <f t="shared" si="3"/>
        <v>0</v>
      </c>
      <c r="T75" s="145">
        <f>+IF(S75&gt;$B$13,VLOOKUP(P75,'$ alcantarillado'!$I$6:$N$22,5),P75)</f>
        <v>0</v>
      </c>
      <c r="U75" s="113" t="str">
        <f>IF(O75&gt;0,VLOOKUP(T75,'$ alcantarillado'!$I$5:$L$22,4),"0")</f>
        <v>0</v>
      </c>
      <c r="V75" s="113" t="str">
        <f t="shared" si="4"/>
        <v/>
      </c>
      <c r="W75" s="146">
        <f t="shared" si="97"/>
        <v>0</v>
      </c>
      <c r="X75" s="146" t="str">
        <f t="shared" si="139"/>
        <v/>
      </c>
      <c r="Y75" s="113" t="str">
        <f>IF(T75&gt;0,(VLOOKUP($W75,Relaciones!$A$4:$D$108,2)),"")</f>
        <v/>
      </c>
      <c r="Z75" s="146" t="str">
        <f t="shared" si="140"/>
        <v/>
      </c>
      <c r="AA75" s="146" t="str">
        <f t="shared" si="141"/>
        <v/>
      </c>
      <c r="AB75" s="147" t="str">
        <f t="shared" si="142"/>
        <v/>
      </c>
      <c r="AC75" s="147" t="str">
        <f t="shared" si="143"/>
        <v/>
      </c>
      <c r="AD75" s="147" t="str">
        <f t="shared" si="144"/>
        <v/>
      </c>
      <c r="AE75" s="148">
        <f t="shared" si="145"/>
        <v>0</v>
      </c>
      <c r="AF75" s="148">
        <f t="shared" si="145"/>
        <v>0</v>
      </c>
      <c r="AG75" s="148">
        <f t="shared" si="145"/>
        <v>0</v>
      </c>
      <c r="AH75" s="148">
        <f t="shared" si="146"/>
        <v>0</v>
      </c>
      <c r="AI75" s="147">
        <f t="shared" si="147"/>
        <v>0</v>
      </c>
      <c r="AJ75" s="149">
        <f>IF(AI75&gt;0,I75*VLOOKUP(T75,'$ alcantarillado'!$I$6:$K$22,3),0)</f>
        <v>0</v>
      </c>
      <c r="AK75" s="149">
        <f t="shared" si="136"/>
        <v>0</v>
      </c>
      <c r="AL75" s="149">
        <f t="shared" si="137"/>
        <v>0</v>
      </c>
      <c r="AM75" s="149">
        <f t="shared" si="22"/>
        <v>0</v>
      </c>
      <c r="AN75" s="180">
        <f>IF(AP58&gt;0,IF(AP186&gt;0,AP58+AP186,0),0)</f>
        <v>23207405.804000024</v>
      </c>
      <c r="AO75" s="150" t="str">
        <f t="shared" si="82"/>
        <v/>
      </c>
      <c r="AP75" s="227"/>
      <c r="AQ75" s="142"/>
      <c r="AR75" s="165"/>
    </row>
    <row r="76" spans="1:44" x14ac:dyDescent="0.25">
      <c r="A76" s="230"/>
      <c r="B76" s="230"/>
      <c r="C76" s="230"/>
      <c r="D76" s="230"/>
      <c r="E76" s="151">
        <v>4</v>
      </c>
      <c r="F76" s="190">
        <f>IF(H63&lt;H191,H63,H191)</f>
        <v>46.765000000000001</v>
      </c>
      <c r="G76" s="151">
        <v>1</v>
      </c>
      <c r="H76" s="142">
        <f t="shared" si="148"/>
        <v>46.89</v>
      </c>
      <c r="I76" s="142">
        <f t="shared" si="148"/>
        <v>80</v>
      </c>
      <c r="J76" s="143">
        <f>+(F76-H76)/I76</f>
        <v>-1.5625000000000001E-3</v>
      </c>
      <c r="K76" s="142">
        <f t="shared" si="149"/>
        <v>1264</v>
      </c>
      <c r="L76" s="128">
        <f t="shared" si="10"/>
        <v>15.456099999999999</v>
      </c>
      <c r="M76" s="144">
        <f t="shared" si="138"/>
        <v>1.5456099999999999E-2</v>
      </c>
      <c r="N76" s="144">
        <f t="shared" si="0"/>
        <v>0</v>
      </c>
      <c r="O76" s="144">
        <f t="shared" si="1"/>
        <v>0</v>
      </c>
      <c r="P76" s="145">
        <f t="shared" si="12"/>
        <v>0</v>
      </c>
      <c r="Q76" s="113" t="str">
        <f>IF(O76&gt;0,VLOOKUP(P76,'$ alcantarillado'!$I$5:$L$22,4,FALSE),"0")</f>
        <v>0</v>
      </c>
      <c r="R76" s="113" t="str">
        <f t="shared" si="2"/>
        <v/>
      </c>
      <c r="S76" s="146">
        <f t="shared" si="3"/>
        <v>0</v>
      </c>
      <c r="T76" s="145">
        <f>+IF(S76&gt;$B$13,VLOOKUP(P76,'$ alcantarillado'!$I$6:$N$22,5),P76)</f>
        <v>0</v>
      </c>
      <c r="U76" s="113" t="str">
        <f>IF(O76&gt;0,VLOOKUP(T76,'$ alcantarillado'!$I$5:$L$22,4),"0")</f>
        <v>0</v>
      </c>
      <c r="V76" s="113" t="str">
        <f t="shared" si="4"/>
        <v/>
      </c>
      <c r="W76" s="146">
        <f t="shared" si="97"/>
        <v>0</v>
      </c>
      <c r="X76" s="146" t="str">
        <f t="shared" si="139"/>
        <v/>
      </c>
      <c r="Y76" s="113" t="str">
        <f>IF(T76&gt;0,(VLOOKUP($W76,Relaciones!$A$4:$D$108,2)),"")</f>
        <v/>
      </c>
      <c r="Z76" s="146" t="str">
        <f t="shared" si="140"/>
        <v/>
      </c>
      <c r="AA76" s="146" t="str">
        <f t="shared" si="141"/>
        <v/>
      </c>
      <c r="AB76" s="147" t="str">
        <f t="shared" si="142"/>
        <v/>
      </c>
      <c r="AC76" s="147" t="str">
        <f t="shared" si="143"/>
        <v/>
      </c>
      <c r="AD76" s="147" t="str">
        <f t="shared" si="144"/>
        <v/>
      </c>
      <c r="AE76" s="148">
        <f t="shared" si="145"/>
        <v>0</v>
      </c>
      <c r="AF76" s="148">
        <f t="shared" si="145"/>
        <v>0</v>
      </c>
      <c r="AG76" s="148">
        <f t="shared" si="145"/>
        <v>0</v>
      </c>
      <c r="AH76" s="148">
        <f t="shared" si="146"/>
        <v>0</v>
      </c>
      <c r="AI76" s="147">
        <f t="shared" si="147"/>
        <v>0</v>
      </c>
      <c r="AJ76" s="149">
        <f>IF(AI76&gt;0,I76*VLOOKUP(T76,'$ alcantarillado'!$I$6:$K$22,3),0)</f>
        <v>0</v>
      </c>
      <c r="AK76" s="149">
        <f t="shared" si="136"/>
        <v>0</v>
      </c>
      <c r="AL76" s="149">
        <f t="shared" si="137"/>
        <v>0</v>
      </c>
      <c r="AM76" s="149">
        <f t="shared" si="22"/>
        <v>0</v>
      </c>
      <c r="AN76" s="180">
        <f>IF(AP63&gt;0,IF(AP191&gt;0,AP63+AP191,0),0)</f>
        <v>23326835.804000027</v>
      </c>
      <c r="AO76" s="150" t="str">
        <f t="shared" si="82"/>
        <v/>
      </c>
      <c r="AP76" s="227"/>
      <c r="AQ76" s="142"/>
      <c r="AR76" s="165"/>
    </row>
    <row r="77" spans="1:44" ht="15.75" thickBot="1" x14ac:dyDescent="0.3">
      <c r="A77" s="230"/>
      <c r="B77" s="230"/>
      <c r="C77" s="230"/>
      <c r="D77" s="230"/>
      <c r="E77" s="152">
        <v>5</v>
      </c>
      <c r="F77" s="191">
        <f>IF(H68&lt;H196,H68,H196)</f>
        <v>46.64</v>
      </c>
      <c r="G77" s="152">
        <v>1</v>
      </c>
      <c r="H77" s="154">
        <f>+H76</f>
        <v>46.89</v>
      </c>
      <c r="I77" s="154">
        <f>+I76</f>
        <v>80</v>
      </c>
      <c r="J77" s="155">
        <f t="shared" si="9"/>
        <v>-3.1250000000000002E-3</v>
      </c>
      <c r="K77" s="154">
        <f>+K76</f>
        <v>1264</v>
      </c>
      <c r="L77" s="153">
        <f t="shared" si="10"/>
        <v>15.456099999999999</v>
      </c>
      <c r="M77" s="156">
        <f t="shared" si="138"/>
        <v>1.5456099999999999E-2</v>
      </c>
      <c r="N77" s="156">
        <f t="shared" si="0"/>
        <v>0</v>
      </c>
      <c r="O77" s="156">
        <f t="shared" si="1"/>
        <v>0</v>
      </c>
      <c r="P77" s="157">
        <f t="shared" si="12"/>
        <v>0</v>
      </c>
      <c r="Q77" s="113" t="str">
        <f>IF(O77&gt;0,VLOOKUP(P77,'$ alcantarillado'!$I$5:$L$22,4,FALSE),"0")</f>
        <v>0</v>
      </c>
      <c r="R77" s="113" t="str">
        <f t="shared" si="2"/>
        <v/>
      </c>
      <c r="S77" s="146">
        <f t="shared" si="3"/>
        <v>0</v>
      </c>
      <c r="T77" s="145">
        <f>+IF(S77&gt;$B$13,VLOOKUP(P77,'$ alcantarillado'!$I$6:$N$22,5),P77)</f>
        <v>0</v>
      </c>
      <c r="U77" s="113" t="str">
        <f>IF(O77&gt;0,VLOOKUP(T77,'$ alcantarillado'!$I$5:$L$22,4),"0")</f>
        <v>0</v>
      </c>
      <c r="V77" s="113" t="str">
        <f t="shared" si="4"/>
        <v/>
      </c>
      <c r="W77" s="146">
        <f t="shared" si="97"/>
        <v>0</v>
      </c>
      <c r="X77" s="146" t="str">
        <f t="shared" si="139"/>
        <v/>
      </c>
      <c r="Y77" s="113" t="str">
        <f>IF(T77&gt;0,(VLOOKUP($W77,Relaciones!$A$4:$D$108,2)),"")</f>
        <v/>
      </c>
      <c r="Z77" s="146" t="str">
        <f t="shared" si="140"/>
        <v/>
      </c>
      <c r="AA77" s="146" t="str">
        <f t="shared" si="141"/>
        <v/>
      </c>
      <c r="AB77" s="147" t="str">
        <f t="shared" si="142"/>
        <v/>
      </c>
      <c r="AC77" s="147" t="str">
        <f t="shared" si="143"/>
        <v/>
      </c>
      <c r="AD77" s="147" t="str">
        <f t="shared" si="144"/>
        <v/>
      </c>
      <c r="AE77" s="148">
        <f t="shared" si="145"/>
        <v>0</v>
      </c>
      <c r="AF77" s="148">
        <f t="shared" si="145"/>
        <v>0</v>
      </c>
      <c r="AG77" s="148">
        <f t="shared" si="145"/>
        <v>0</v>
      </c>
      <c r="AH77" s="148">
        <f t="shared" si="146"/>
        <v>0</v>
      </c>
      <c r="AI77" s="147">
        <f t="shared" si="147"/>
        <v>0</v>
      </c>
      <c r="AJ77" s="158">
        <f>IF(AI77&gt;0,I77*VLOOKUP(T77,'$ alcantarillado'!$I$6:$K$22,3),0)</f>
        <v>0</v>
      </c>
      <c r="AK77" s="149">
        <f t="shared" si="136"/>
        <v>0</v>
      </c>
      <c r="AL77" s="149">
        <f t="shared" si="137"/>
        <v>0</v>
      </c>
      <c r="AM77" s="158">
        <f t="shared" si="22"/>
        <v>0</v>
      </c>
      <c r="AN77" s="181">
        <f>IF(AP68&gt;0,IF(AP196&gt;0,AP68+AP196,0),0)</f>
        <v>22456089.33366669</v>
      </c>
      <c r="AO77" s="159" t="str">
        <f t="shared" si="82"/>
        <v/>
      </c>
      <c r="AP77" s="228"/>
      <c r="AQ77" s="154"/>
      <c r="AR77" s="166"/>
    </row>
    <row r="78" spans="1:44" x14ac:dyDescent="0.25">
      <c r="A78" s="230"/>
      <c r="B78" s="230"/>
      <c r="C78" s="230"/>
      <c r="D78" s="230"/>
      <c r="E78" s="127">
        <v>1</v>
      </c>
      <c r="F78" s="189">
        <f>IF(H49&lt;H177,H49,H177)</f>
        <v>47.14</v>
      </c>
      <c r="G78" s="127">
        <v>2</v>
      </c>
      <c r="H78" s="146">
        <f>+H83+$B$15</f>
        <v>46.765000000000001</v>
      </c>
      <c r="I78" s="142">
        <f>+I77</f>
        <v>80</v>
      </c>
      <c r="J78" s="143">
        <f>+(F78-H78)/I78</f>
        <v>4.6874999999999998E-3</v>
      </c>
      <c r="K78" s="142">
        <f>+K77</f>
        <v>1264</v>
      </c>
      <c r="L78" s="132">
        <f>IF(K78&lt;38,K78^0.3686*0.7401,IF(K78&lt;235,K78^0.4193*0.6215,IF(K78&lt;932,K78*0.0092+4.2493,K78*0.0069+6.7345)))</f>
        <v>15.456099999999999</v>
      </c>
      <c r="M78" s="133">
        <f>+L78/1000</f>
        <v>1.5456099999999999E-2</v>
      </c>
      <c r="N78" s="133">
        <f t="shared" si="0"/>
        <v>0.15756772760132909</v>
      </c>
      <c r="O78" s="133">
        <f t="shared" si="1"/>
        <v>6.2034538425720118</v>
      </c>
      <c r="P78" s="134">
        <f t="shared" si="12"/>
        <v>8</v>
      </c>
      <c r="Q78" s="135">
        <f>IF(O78&gt;0,VLOOKUP(P78,'$ alcantarillado'!$I$5:$L$22,4,FALSE),"0")</f>
        <v>0.182</v>
      </c>
      <c r="R78" s="135">
        <f t="shared" si="2"/>
        <v>2.2700960280449212E-2</v>
      </c>
      <c r="S78" s="136">
        <f t="shared" si="3"/>
        <v>0.68085666020530788</v>
      </c>
      <c r="T78" s="134">
        <f>+IF(S78&gt;$B$13,VLOOKUP(P78,'$ alcantarillado'!$I$6:$N$22,5),P78)</f>
        <v>8</v>
      </c>
      <c r="U78" s="135">
        <f>IF(O78&gt;0,VLOOKUP(T78,'$ alcantarillado'!$I$5:$L$22,4),"0")</f>
        <v>0.182</v>
      </c>
      <c r="V78" s="135">
        <f t="shared" si="4"/>
        <v>2.2700960280449212E-2</v>
      </c>
      <c r="W78" s="136">
        <f t="shared" si="97"/>
        <v>0.68085666020530788</v>
      </c>
      <c r="X78" s="136">
        <f>IF(T78&gt;0,4*V78/(PI()*(U78)^2),"")</f>
        <v>0.87259269208218104</v>
      </c>
      <c r="Y78" s="135">
        <f>IF(T78&gt;0,(VLOOKUP($W78,Relaciones!$A$4:$D$108,2)),"")</f>
        <v>0.93600000000000005</v>
      </c>
      <c r="Z78" s="136">
        <f>IF(T78&gt;0,Y78*X78,"")</f>
        <v>0.81674675978892153</v>
      </c>
      <c r="AA78" s="136">
        <f>IF(T78&gt;0,250*U78*J78,"")</f>
        <v>0.21328125000000001</v>
      </c>
      <c r="AB78" s="137" t="str">
        <f>IF(T78&gt;0,IF(W78&lt;=$B$13,"OK","No Cumple"),"")</f>
        <v>OK</v>
      </c>
      <c r="AC78" s="137" t="str">
        <f>IF(T78&gt;0,IF(Z78&gt;=$B$12,"OK","No Cumple"),"")</f>
        <v>OK</v>
      </c>
      <c r="AD78" s="137" t="str">
        <f>IF(T78&gt;0,IF(AA78&gt;$B$14,"OK","No Cumple"),"")</f>
        <v>OK</v>
      </c>
      <c r="AE78" s="138">
        <f>+IF(AB78="OK",1,0)</f>
        <v>1</v>
      </c>
      <c r="AF78" s="138">
        <f>+IF(AC78="OK",1,0)</f>
        <v>1</v>
      </c>
      <c r="AG78" s="138">
        <f>+IF(AD78="OK",1,0)</f>
        <v>1</v>
      </c>
      <c r="AH78" s="138">
        <f>SUM(AE78:AG78)</f>
        <v>3</v>
      </c>
      <c r="AI78" s="137">
        <f>IF(AH78=3,2*$B$7+U78,0)</f>
        <v>0.68199999999999994</v>
      </c>
      <c r="AJ78" s="139">
        <f>IF(AI78&gt;0,I78*VLOOKUP(T78,'$ alcantarillado'!$I$6:$K$22,3),0)</f>
        <v>2654586.666666667</v>
      </c>
      <c r="AK78" s="139">
        <f t="shared" si="136"/>
        <v>3324831.8400000031</v>
      </c>
      <c r="AL78" s="139">
        <f t="shared" si="137"/>
        <v>1488095.4920000019</v>
      </c>
      <c r="AM78" s="139">
        <f>IF(AJ78&gt;0,AJ78+AK78+AL78,0)</f>
        <v>7467513.998666672</v>
      </c>
      <c r="AN78" s="179">
        <f>IF(AP48&gt;0,IF(AP176&gt;0,AP48+AP176,0),0)</f>
        <v>0</v>
      </c>
      <c r="AO78" s="140" t="str">
        <f>IF((AM78)&gt;0,IF(AN78&gt;0,AM78+AN78,""),"")</f>
        <v/>
      </c>
      <c r="AP78" s="232">
        <f>+MIN(AO78:AO82)</f>
        <v>0</v>
      </c>
      <c r="AQ78" s="142"/>
      <c r="AR78" s="165"/>
    </row>
    <row r="79" spans="1:44" x14ac:dyDescent="0.25">
      <c r="A79" s="230"/>
      <c r="B79" s="230"/>
      <c r="C79" s="230"/>
      <c r="D79" s="230"/>
      <c r="E79" s="141">
        <v>2</v>
      </c>
      <c r="F79" s="190">
        <f>IF(H54&lt;H182,H54,H182)</f>
        <v>47.015000000000001</v>
      </c>
      <c r="G79" s="141">
        <v>2</v>
      </c>
      <c r="H79" s="146">
        <f>+H78</f>
        <v>46.765000000000001</v>
      </c>
      <c r="I79" s="142">
        <f>+I78</f>
        <v>80</v>
      </c>
      <c r="J79" s="143">
        <f t="shared" si="9"/>
        <v>3.1250000000000002E-3</v>
      </c>
      <c r="K79" s="142">
        <f>+K78</f>
        <v>1264</v>
      </c>
      <c r="L79" s="128">
        <f t="shared" si="10"/>
        <v>15.456099999999999</v>
      </c>
      <c r="M79" s="144">
        <f t="shared" ref="M79:M82" si="150">+L79/1000</f>
        <v>1.5456099999999999E-2</v>
      </c>
      <c r="N79" s="144">
        <f t="shared" si="0"/>
        <v>0.17001388158888045</v>
      </c>
      <c r="O79" s="144">
        <f t="shared" si="1"/>
        <v>6.6934599050740333</v>
      </c>
      <c r="P79" s="145">
        <f t="shared" si="12"/>
        <v>8</v>
      </c>
      <c r="Q79" s="113">
        <f>IF(O79&gt;0,VLOOKUP(P79,'$ alcantarillado'!$I$5:$L$22,4,FALSE),"0")</f>
        <v>0.182</v>
      </c>
      <c r="R79" s="113">
        <f t="shared" si="2"/>
        <v>1.8535256452762897E-2</v>
      </c>
      <c r="S79" s="146">
        <f t="shared" si="3"/>
        <v>0.83387570273925649</v>
      </c>
      <c r="T79" s="145">
        <f>+IF(S79&gt;$B$13,VLOOKUP(P79,'$ alcantarillado'!$I$6:$N$22,5),P79)</f>
        <v>8</v>
      </c>
      <c r="U79" s="113">
        <f>IF(O79&gt;0,VLOOKUP(T79,'$ alcantarillado'!$I$5:$L$22,4),"0")</f>
        <v>0.182</v>
      </c>
      <c r="V79" s="113">
        <f t="shared" si="4"/>
        <v>1.8535256452762897E-2</v>
      </c>
      <c r="W79" s="146">
        <f t="shared" si="97"/>
        <v>0.83387570273925649</v>
      </c>
      <c r="X79" s="146">
        <f t="shared" ref="X79:X82" si="151">IF(T79&gt;0,4*V79/(PI()*(U79)^2),"")</f>
        <v>0.71246894962762097</v>
      </c>
      <c r="Y79" s="113">
        <f>IF(T79&gt;0,(VLOOKUP($W79,Relaciones!$A$4:$D$108,2)),"")</f>
        <v>0.99299999999999999</v>
      </c>
      <c r="Z79" s="146">
        <f t="shared" ref="Z79:Z82" si="152">IF(T79&gt;0,Y79*X79,"")</f>
        <v>0.70748166698022763</v>
      </c>
      <c r="AA79" s="146">
        <f t="shared" ref="AA79:AA82" si="153">IF(T79&gt;0,250*U79*J79,"")</f>
        <v>0.14218749999999999</v>
      </c>
      <c r="AB79" s="147" t="str">
        <f t="shared" ref="AB79:AB82" si="154">IF(T79&gt;0,IF(W79&lt;=$B$13,"OK","No Cumple"),"")</f>
        <v>OK</v>
      </c>
      <c r="AC79" s="147" t="str">
        <f t="shared" ref="AC79:AC82" si="155">IF(T79&gt;0,IF(Z79&gt;=$B$12,"OK","No Cumple"),"")</f>
        <v>OK</v>
      </c>
      <c r="AD79" s="147" t="str">
        <f t="shared" ref="AD79:AD82" si="156">IF(T79&gt;0,IF(AA79&gt;$B$14,"OK","No Cumple"),"")</f>
        <v>No Cumple</v>
      </c>
      <c r="AE79" s="148">
        <f t="shared" ref="AE79:AG82" si="157">+IF(AB79="OK",1,0)</f>
        <v>1</v>
      </c>
      <c r="AF79" s="148">
        <f t="shared" si="157"/>
        <v>1</v>
      </c>
      <c r="AG79" s="148">
        <f t="shared" si="157"/>
        <v>0</v>
      </c>
      <c r="AH79" s="148">
        <f t="shared" ref="AH79:AH82" si="158">SUM(AE79:AG79)</f>
        <v>2</v>
      </c>
      <c r="AI79" s="147">
        <f t="shared" ref="AI79:AI82" si="159">IF(AH79=3,2*$B$7+U79,0)</f>
        <v>0</v>
      </c>
      <c r="AJ79" s="149">
        <f>IF(AI79&gt;0,I79*VLOOKUP(T79,'$ alcantarillado'!$I$6:$K$22,3),0)</f>
        <v>0</v>
      </c>
      <c r="AK79" s="149">
        <f t="shared" si="136"/>
        <v>0</v>
      </c>
      <c r="AL79" s="149">
        <f t="shared" si="137"/>
        <v>0</v>
      </c>
      <c r="AM79" s="149">
        <f t="shared" si="22"/>
        <v>0</v>
      </c>
      <c r="AN79" s="180">
        <f>IF(AP53&gt;0,IF(AP181&gt;0,AP53+AP181,0),0)</f>
        <v>23087975.804000024</v>
      </c>
      <c r="AO79" s="150" t="str">
        <f t="shared" si="82"/>
        <v/>
      </c>
      <c r="AP79" s="218"/>
      <c r="AQ79" s="142"/>
      <c r="AR79" s="165"/>
    </row>
    <row r="80" spans="1:44" x14ac:dyDescent="0.25">
      <c r="A80" s="230"/>
      <c r="B80" s="230"/>
      <c r="C80" s="230"/>
      <c r="D80" s="230"/>
      <c r="E80" s="151">
        <v>3</v>
      </c>
      <c r="F80" s="190">
        <f>IF(H59&lt;H187,H59,H187)</f>
        <v>46.89</v>
      </c>
      <c r="G80" s="151">
        <v>2</v>
      </c>
      <c r="H80" s="146">
        <f t="shared" ref="H80:I81" si="160">+H79</f>
        <v>46.765000000000001</v>
      </c>
      <c r="I80" s="142">
        <f t="shared" si="160"/>
        <v>80</v>
      </c>
      <c r="J80" s="143">
        <f t="shared" si="9"/>
        <v>1.5625000000000001E-3</v>
      </c>
      <c r="K80" s="142">
        <f t="shared" ref="K80:K81" si="161">+K79</f>
        <v>1264</v>
      </c>
      <c r="L80" s="128">
        <f t="shared" si="10"/>
        <v>15.456099999999999</v>
      </c>
      <c r="M80" s="144">
        <f t="shared" si="150"/>
        <v>1.5456099999999999E-2</v>
      </c>
      <c r="N80" s="144">
        <f t="shared" si="0"/>
        <v>0.19360987610428701</v>
      </c>
      <c r="O80" s="144">
        <f t="shared" si="1"/>
        <v>7.6224360670979143</v>
      </c>
      <c r="P80" s="145">
        <f t="shared" si="12"/>
        <v>8</v>
      </c>
      <c r="Q80" s="113">
        <f>IF(O80&gt;0,VLOOKUP(P80,'$ alcantarillado'!$I$5:$L$22,4,FALSE),"0")</f>
        <v>0.182</v>
      </c>
      <c r="R80" s="113">
        <f t="shared" si="2"/>
        <v>1.3106405528780356E-2</v>
      </c>
      <c r="S80" s="146">
        <f t="shared" si="3"/>
        <v>1.1792783281472521</v>
      </c>
      <c r="T80" s="145">
        <f>+IF(S80&gt;$B$13,VLOOKUP(P80,'$ alcantarillado'!$I$6:$N$22,5),P80)</f>
        <v>10</v>
      </c>
      <c r="U80" s="113">
        <f>IF(O80&gt;0,VLOOKUP(T80,'$ alcantarillado'!$I$5:$L$22,4),"0")</f>
        <v>0.22700000000000001</v>
      </c>
      <c r="V80" s="113">
        <f t="shared" si="4"/>
        <v>2.3624476083504924E-2</v>
      </c>
      <c r="W80" s="146">
        <f t="shared" si="97"/>
        <v>0.65424096370931817</v>
      </c>
      <c r="X80" s="146">
        <f t="shared" si="151"/>
        <v>0.5837415275508655</v>
      </c>
      <c r="Y80" s="113">
        <f>IF(T80&gt;0,(VLOOKUP($W80,Relaciones!$A$4:$D$108,2)),"")</f>
        <v>0.92200000000000004</v>
      </c>
      <c r="Z80" s="146">
        <f t="shared" si="152"/>
        <v>0.53820968840189798</v>
      </c>
      <c r="AA80" s="146">
        <f t="shared" si="153"/>
        <v>8.8671875000000011E-2</v>
      </c>
      <c r="AB80" s="147" t="str">
        <f t="shared" si="154"/>
        <v>OK</v>
      </c>
      <c r="AC80" s="147" t="str">
        <f t="shared" si="155"/>
        <v>OK</v>
      </c>
      <c r="AD80" s="147" t="str">
        <f t="shared" si="156"/>
        <v>No Cumple</v>
      </c>
      <c r="AE80" s="148">
        <f t="shared" si="157"/>
        <v>1</v>
      </c>
      <c r="AF80" s="148">
        <f t="shared" si="157"/>
        <v>1</v>
      </c>
      <c r="AG80" s="148">
        <f t="shared" si="157"/>
        <v>0</v>
      </c>
      <c r="AH80" s="148">
        <f t="shared" si="158"/>
        <v>2</v>
      </c>
      <c r="AI80" s="147">
        <f t="shared" si="159"/>
        <v>0</v>
      </c>
      <c r="AJ80" s="149">
        <f>IF(AI80&gt;0,I80*VLOOKUP(T80,'$ alcantarillado'!$I$6:$K$22,3),0)</f>
        <v>0</v>
      </c>
      <c r="AK80" s="149">
        <f t="shared" si="136"/>
        <v>0</v>
      </c>
      <c r="AL80" s="149">
        <f t="shared" si="137"/>
        <v>0</v>
      </c>
      <c r="AM80" s="149">
        <f t="shared" si="22"/>
        <v>0</v>
      </c>
      <c r="AN80" s="180">
        <f>IF(AP58&gt;0,IF(AP186&gt;0,AP58+AP186,0),0)</f>
        <v>23207405.804000024</v>
      </c>
      <c r="AO80" s="150" t="str">
        <f>IF((AM80)&gt;0,IF(AN80&gt;0,AM80+AN80,""),"")</f>
        <v/>
      </c>
      <c r="AP80" s="219"/>
      <c r="AQ80" s="142"/>
      <c r="AR80" s="165"/>
    </row>
    <row r="81" spans="1:44" x14ac:dyDescent="0.25">
      <c r="A81" s="230"/>
      <c r="B81" s="230"/>
      <c r="C81" s="230"/>
      <c r="D81" s="230"/>
      <c r="E81" s="151">
        <v>4</v>
      </c>
      <c r="F81" s="190">
        <f>IF(H64&lt;H192,H64,H192)</f>
        <v>46.765000000000001</v>
      </c>
      <c r="G81" s="151">
        <v>2</v>
      </c>
      <c r="H81" s="146">
        <f t="shared" si="160"/>
        <v>46.765000000000001</v>
      </c>
      <c r="I81" s="142">
        <f t="shared" si="160"/>
        <v>80</v>
      </c>
      <c r="J81" s="143">
        <f>+(F81-H81)/I81</f>
        <v>0</v>
      </c>
      <c r="K81" s="142">
        <f t="shared" si="161"/>
        <v>1264</v>
      </c>
      <c r="L81" s="128">
        <f t="shared" si="10"/>
        <v>15.456099999999999</v>
      </c>
      <c r="M81" s="144">
        <f t="shared" si="150"/>
        <v>1.5456099999999999E-2</v>
      </c>
      <c r="N81" s="144">
        <f t="shared" si="0"/>
        <v>0</v>
      </c>
      <c r="O81" s="144">
        <f t="shared" si="1"/>
        <v>0</v>
      </c>
      <c r="P81" s="145">
        <f t="shared" si="12"/>
        <v>0</v>
      </c>
      <c r="Q81" s="113" t="str">
        <f>IF(O81&gt;0,VLOOKUP(P81,'$ alcantarillado'!$I$5:$L$22,4,FALSE),"0")</f>
        <v>0</v>
      </c>
      <c r="R81" s="113" t="str">
        <f t="shared" si="2"/>
        <v/>
      </c>
      <c r="S81" s="146">
        <f t="shared" si="3"/>
        <v>0</v>
      </c>
      <c r="T81" s="145">
        <f>+IF(S81&gt;$B$13,VLOOKUP(P81,'$ alcantarillado'!$I$6:$N$22,5),P81)</f>
        <v>0</v>
      </c>
      <c r="U81" s="113" t="str">
        <f>IF(O81&gt;0,VLOOKUP(T81,'$ alcantarillado'!$I$5:$L$22,4),"0")</f>
        <v>0</v>
      </c>
      <c r="V81" s="113" t="str">
        <f t="shared" si="4"/>
        <v/>
      </c>
      <c r="W81" s="146">
        <f t="shared" si="97"/>
        <v>0</v>
      </c>
      <c r="X81" s="146" t="str">
        <f t="shared" si="151"/>
        <v/>
      </c>
      <c r="Y81" s="113" t="str">
        <f>IF(T81&gt;0,(VLOOKUP($W81,Relaciones!$A$4:$D$108,2)),"")</f>
        <v/>
      </c>
      <c r="Z81" s="146" t="str">
        <f t="shared" si="152"/>
        <v/>
      </c>
      <c r="AA81" s="146" t="str">
        <f t="shared" si="153"/>
        <v/>
      </c>
      <c r="AB81" s="147" t="str">
        <f t="shared" si="154"/>
        <v/>
      </c>
      <c r="AC81" s="147" t="str">
        <f t="shared" si="155"/>
        <v/>
      </c>
      <c r="AD81" s="147" t="str">
        <f t="shared" si="156"/>
        <v/>
      </c>
      <c r="AE81" s="148">
        <f t="shared" si="157"/>
        <v>0</v>
      </c>
      <c r="AF81" s="148">
        <f t="shared" si="157"/>
        <v>0</v>
      </c>
      <c r="AG81" s="148">
        <f t="shared" si="157"/>
        <v>0</v>
      </c>
      <c r="AH81" s="148">
        <f t="shared" si="158"/>
        <v>0</v>
      </c>
      <c r="AI81" s="147">
        <f t="shared" si="159"/>
        <v>0</v>
      </c>
      <c r="AJ81" s="149">
        <f>IF(AI81&gt;0,I81*VLOOKUP(T81,'$ alcantarillado'!$I$6:$K$22,3),0)</f>
        <v>0</v>
      </c>
      <c r="AK81" s="149">
        <f t="shared" si="136"/>
        <v>0</v>
      </c>
      <c r="AL81" s="149">
        <f t="shared" si="137"/>
        <v>0</v>
      </c>
      <c r="AM81" s="149">
        <f t="shared" si="22"/>
        <v>0</v>
      </c>
      <c r="AN81" s="180">
        <f>IF(AP63&gt;0,IF(AP191&gt;0,AP63+AP191,0),0)</f>
        <v>23326835.804000027</v>
      </c>
      <c r="AO81" s="150" t="str">
        <f t="shared" si="82"/>
        <v/>
      </c>
      <c r="AP81" s="219"/>
      <c r="AQ81" s="142"/>
      <c r="AR81" s="165"/>
    </row>
    <row r="82" spans="1:44" ht="15.75" thickBot="1" x14ac:dyDescent="0.3">
      <c r="A82" s="230"/>
      <c r="B82" s="230"/>
      <c r="C82" s="230"/>
      <c r="D82" s="230"/>
      <c r="E82" s="152">
        <v>5</v>
      </c>
      <c r="F82" s="191">
        <f>IF(H69&lt;H197,H69,H197)</f>
        <v>46.64</v>
      </c>
      <c r="G82" s="152">
        <v>2</v>
      </c>
      <c r="H82" s="169">
        <f>+H81</f>
        <v>46.765000000000001</v>
      </c>
      <c r="I82" s="154">
        <f>+I81</f>
        <v>80</v>
      </c>
      <c r="J82" s="155">
        <f t="shared" si="9"/>
        <v>-1.5625000000000001E-3</v>
      </c>
      <c r="K82" s="154">
        <f>+K81</f>
        <v>1264</v>
      </c>
      <c r="L82" s="153">
        <f t="shared" si="10"/>
        <v>15.456099999999999</v>
      </c>
      <c r="M82" s="156">
        <f t="shared" si="150"/>
        <v>1.5456099999999999E-2</v>
      </c>
      <c r="N82" s="156">
        <f t="shared" si="0"/>
        <v>0</v>
      </c>
      <c r="O82" s="156">
        <f t="shared" si="1"/>
        <v>0</v>
      </c>
      <c r="P82" s="157">
        <f t="shared" si="12"/>
        <v>0</v>
      </c>
      <c r="Q82" s="113" t="str">
        <f>IF(O82&gt;0,VLOOKUP(P82,'$ alcantarillado'!$I$5:$L$22,4,FALSE),"0")</f>
        <v>0</v>
      </c>
      <c r="R82" s="160" t="str">
        <f t="shared" si="2"/>
        <v/>
      </c>
      <c r="S82" s="146">
        <f t="shared" si="3"/>
        <v>0</v>
      </c>
      <c r="T82" s="145">
        <f>+IF(S82&gt;$B$13,VLOOKUP(P82,'$ alcantarillado'!$I$6:$N$22,5),P82)</f>
        <v>0</v>
      </c>
      <c r="U82" s="113" t="str">
        <f>IF(O82&gt;0,VLOOKUP(T82,'$ alcantarillado'!$I$5:$L$22,4),"0")</f>
        <v>0</v>
      </c>
      <c r="V82" s="113" t="str">
        <f t="shared" si="4"/>
        <v/>
      </c>
      <c r="W82" s="146">
        <f t="shared" si="97"/>
        <v>0</v>
      </c>
      <c r="X82" s="146" t="str">
        <f t="shared" si="151"/>
        <v/>
      </c>
      <c r="Y82" s="113" t="str">
        <f>IF(T82&gt;0,(VLOOKUP($W82,Relaciones!$A$4:$D$108,2)),"")</f>
        <v/>
      </c>
      <c r="Z82" s="146" t="str">
        <f t="shared" si="152"/>
        <v/>
      </c>
      <c r="AA82" s="146" t="str">
        <f t="shared" si="153"/>
        <v/>
      </c>
      <c r="AB82" s="147" t="str">
        <f t="shared" si="154"/>
        <v/>
      </c>
      <c r="AC82" s="147" t="str">
        <f t="shared" si="155"/>
        <v/>
      </c>
      <c r="AD82" s="147" t="str">
        <f t="shared" si="156"/>
        <v/>
      </c>
      <c r="AE82" s="148">
        <f t="shared" si="157"/>
        <v>0</v>
      </c>
      <c r="AF82" s="148">
        <f t="shared" si="157"/>
        <v>0</v>
      </c>
      <c r="AG82" s="148">
        <f t="shared" si="157"/>
        <v>0</v>
      </c>
      <c r="AH82" s="148">
        <f t="shared" si="158"/>
        <v>0</v>
      </c>
      <c r="AI82" s="147">
        <f t="shared" si="159"/>
        <v>0</v>
      </c>
      <c r="AJ82" s="158">
        <f>IF(AI82&gt;0,I82*VLOOKUP(T82,'$ alcantarillado'!$I$6:$K$22,3),0)</f>
        <v>0</v>
      </c>
      <c r="AK82" s="149">
        <f t="shared" si="136"/>
        <v>0</v>
      </c>
      <c r="AL82" s="149">
        <f t="shared" si="137"/>
        <v>0</v>
      </c>
      <c r="AM82" s="158">
        <f t="shared" si="22"/>
        <v>0</v>
      </c>
      <c r="AN82" s="181">
        <f>IF(AP68&gt;0,IF(AP196&gt;0,AP68+AP196,0),0)</f>
        <v>22456089.33366669</v>
      </c>
      <c r="AO82" s="159" t="str">
        <f t="shared" si="82"/>
        <v/>
      </c>
      <c r="AP82" s="220"/>
      <c r="AQ82" s="154"/>
      <c r="AR82" s="166"/>
    </row>
    <row r="83" spans="1:44" x14ac:dyDescent="0.25">
      <c r="A83" s="230"/>
      <c r="B83" s="230"/>
      <c r="C83" s="230"/>
      <c r="D83" s="230"/>
      <c r="E83" s="127">
        <v>1</v>
      </c>
      <c r="F83" s="189">
        <f>IF(H50&lt;H178,H50,H178)</f>
        <v>47.14</v>
      </c>
      <c r="G83" s="127">
        <v>3</v>
      </c>
      <c r="H83" s="136">
        <f>+'LOGIKA AN-3'!H83</f>
        <v>46.64</v>
      </c>
      <c r="I83" s="129">
        <f t="shared" ref="I83" si="162">+I82</f>
        <v>80</v>
      </c>
      <c r="J83" s="143">
        <f>+(F83-H83)/I83</f>
        <v>6.2500000000000003E-3</v>
      </c>
      <c r="K83" s="129">
        <f t="shared" ref="K83" si="163">+K82</f>
        <v>1264</v>
      </c>
      <c r="L83" s="132">
        <f>IF(K83&lt;38,K83^0.3686*0.7401,IF(K83&lt;235,K83^0.4193*0.6215,IF(K83&lt;932,K83*0.0092+4.2493,K83*0.0069+6.7345)))</f>
        <v>15.456099999999999</v>
      </c>
      <c r="M83" s="133">
        <f>+L83/1000</f>
        <v>1.5456099999999999E-2</v>
      </c>
      <c r="N83" s="133">
        <f t="shared" si="0"/>
        <v>0.14929362341696081</v>
      </c>
      <c r="O83" s="133">
        <f t="shared" si="1"/>
        <v>5.8777017093291661</v>
      </c>
      <c r="P83" s="134">
        <f t="shared" si="12"/>
        <v>6</v>
      </c>
      <c r="Q83" s="135">
        <f>IF(O83&gt;0,VLOOKUP(P83,'$ alcantarillado'!$I$5:$L$22,4,FALSE),"0")</f>
        <v>0.14499999999999999</v>
      </c>
      <c r="R83" s="135">
        <f t="shared" si="2"/>
        <v>1.4298963858198607E-2</v>
      </c>
      <c r="S83" s="136">
        <f t="shared" si="3"/>
        <v>1.0809244748973839</v>
      </c>
      <c r="T83" s="134">
        <f>+IF(S83&gt;$B$13,VLOOKUP(P83,'$ alcantarillado'!$I$6:$N$22,5),P83)</f>
        <v>8</v>
      </c>
      <c r="U83" s="135">
        <f>IF(O83&gt;0,VLOOKUP(T83,'$ alcantarillado'!$I$5:$L$22,4),"0")</f>
        <v>0.182</v>
      </c>
      <c r="V83" s="135">
        <f t="shared" si="4"/>
        <v>2.6212811057560712E-2</v>
      </c>
      <c r="W83" s="136">
        <f t="shared" si="97"/>
        <v>0.58963916407362604</v>
      </c>
      <c r="X83" s="136">
        <f>IF(T83&gt;0,4*V83/(PI()*(U83)^2),"")</f>
        <v>1.0075832513330949</v>
      </c>
      <c r="Y83" s="135">
        <f>IF(T83&gt;0,(VLOOKUP($W83,Relaciones!$A$4:$D$108,2)),"")</f>
        <v>0.89</v>
      </c>
      <c r="Z83" s="136">
        <f>IF(T83&gt;0,Y83*X83,"")</f>
        <v>0.8967490936864545</v>
      </c>
      <c r="AA83" s="136">
        <f>IF(T83&gt;0,250*U83*J83,"")</f>
        <v>0.28437499999999999</v>
      </c>
      <c r="AB83" s="137" t="str">
        <f>IF(T83&gt;0,IF(W83&lt;=$B$13,"OK","No Cumple"),"")</f>
        <v>OK</v>
      </c>
      <c r="AC83" s="137" t="str">
        <f>IF(T83&gt;0,IF(Z83&gt;=$B$12,"OK","No Cumple"),"")</f>
        <v>OK</v>
      </c>
      <c r="AD83" s="137" t="str">
        <f>IF(T83&gt;0,IF(AA83&gt;$B$14,"OK","No Cumple"),"")</f>
        <v>OK</v>
      </c>
      <c r="AE83" s="138">
        <f>+IF(AB83="OK",1,0)</f>
        <v>1</v>
      </c>
      <c r="AF83" s="138">
        <f>+IF(AC83="OK",1,0)</f>
        <v>1</v>
      </c>
      <c r="AG83" s="138">
        <f>+IF(AD83="OK",1,0)</f>
        <v>1</v>
      </c>
      <c r="AH83" s="138">
        <f>SUM(AE83:AG83)</f>
        <v>3</v>
      </c>
      <c r="AI83" s="137">
        <f>IF(AH83=3,2*$B$7+U83,0)</f>
        <v>0.68199999999999994</v>
      </c>
      <c r="AJ83" s="139">
        <f>IF(AI83&gt;0,I83*VLOOKUP(T83,'$ alcantarillado'!$I$6:$K$22,3),0)</f>
        <v>2654586.666666667</v>
      </c>
      <c r="AK83" s="139">
        <f t="shared" si="136"/>
        <v>3386211.8400000036</v>
      </c>
      <c r="AL83" s="139">
        <f t="shared" si="137"/>
        <v>1488095.4920000019</v>
      </c>
      <c r="AM83" s="139">
        <f>IF(AJ83&gt;0,AJ83+AK83+AL83,0)</f>
        <v>7528893.998666672</v>
      </c>
      <c r="AN83" s="180">
        <f>IF(AP48&gt;0,IF(AP176&gt;0,AP48+AP176,0),0)</f>
        <v>0</v>
      </c>
      <c r="AO83" s="140" t="str">
        <f>IF((AM83)&gt;0,IF(AN83&gt;0,AM83+AN83,""),"")</f>
        <v/>
      </c>
      <c r="AP83" s="225">
        <f>+MIN(AO83:AO87)</f>
        <v>30826877.427666694</v>
      </c>
      <c r="AQ83" s="129"/>
      <c r="AR83" s="163"/>
    </row>
    <row r="84" spans="1:44" x14ac:dyDescent="0.25">
      <c r="A84" s="230"/>
      <c r="B84" s="230"/>
      <c r="C84" s="230"/>
      <c r="D84" s="230"/>
      <c r="E84" s="141">
        <v>2</v>
      </c>
      <c r="F84" s="190">
        <f>IF(H55&lt;H183,H55,H183)</f>
        <v>47.015000000000001</v>
      </c>
      <c r="G84" s="141">
        <v>3</v>
      </c>
      <c r="H84" s="142">
        <f>+H83</f>
        <v>46.64</v>
      </c>
      <c r="I84" s="142">
        <f>+I83</f>
        <v>80</v>
      </c>
      <c r="J84" s="143">
        <f t="shared" si="9"/>
        <v>4.6874999999999998E-3</v>
      </c>
      <c r="K84" s="142">
        <f>+K83</f>
        <v>1264</v>
      </c>
      <c r="L84" s="128">
        <f t="shared" si="10"/>
        <v>15.456099999999999</v>
      </c>
      <c r="M84" s="144">
        <f t="shared" ref="M84:M87" si="164">+L84/1000</f>
        <v>1.5456099999999999E-2</v>
      </c>
      <c r="N84" s="144">
        <f t="shared" si="0"/>
        <v>0.15756772760132909</v>
      </c>
      <c r="O84" s="144">
        <f t="shared" si="1"/>
        <v>6.2034538425720118</v>
      </c>
      <c r="P84" s="145">
        <f t="shared" si="12"/>
        <v>8</v>
      </c>
      <c r="Q84" s="113">
        <f>IF(O84&gt;0,VLOOKUP(P84,'$ alcantarillado'!$I$5:$L$22,4,FALSE),"0")</f>
        <v>0.182</v>
      </c>
      <c r="R84" s="113">
        <f t="shared" si="2"/>
        <v>2.2700960280449212E-2</v>
      </c>
      <c r="S84" s="146">
        <f t="shared" si="3"/>
        <v>0.68085666020530788</v>
      </c>
      <c r="T84" s="145">
        <f>+IF(S84&gt;$B$13,VLOOKUP(P84,'$ alcantarillado'!$I$6:$N$22,5),P84)</f>
        <v>8</v>
      </c>
      <c r="U84" s="113">
        <f>IF(O84&gt;0,VLOOKUP(T84,'$ alcantarillado'!$I$5:$L$22,4),"0")</f>
        <v>0.182</v>
      </c>
      <c r="V84" s="113">
        <f t="shared" si="4"/>
        <v>2.2700960280449212E-2</v>
      </c>
      <c r="W84" s="146">
        <f t="shared" si="97"/>
        <v>0.68085666020530788</v>
      </c>
      <c r="X84" s="146">
        <f t="shared" ref="X84:X87" si="165">IF(T84&gt;0,4*V84/(PI()*(U84)^2),"")</f>
        <v>0.87259269208218104</v>
      </c>
      <c r="Y84" s="113">
        <f>IF(T84&gt;0,(VLOOKUP($W84,Relaciones!$A$4:$D$108,2)),"")</f>
        <v>0.93600000000000005</v>
      </c>
      <c r="Z84" s="146">
        <f t="shared" ref="Z84:Z87" si="166">IF(T84&gt;0,Y84*X84,"")</f>
        <v>0.81674675978892153</v>
      </c>
      <c r="AA84" s="146">
        <f t="shared" ref="AA84:AA87" si="167">IF(T84&gt;0,250*U84*J84,"")</f>
        <v>0.21328125000000001</v>
      </c>
      <c r="AB84" s="147" t="str">
        <f t="shared" ref="AB84:AB87" si="168">IF(T84&gt;0,IF(W84&lt;=$B$13,"OK","No Cumple"),"")</f>
        <v>OK</v>
      </c>
      <c r="AC84" s="147" t="str">
        <f t="shared" ref="AC84:AC87" si="169">IF(T84&gt;0,IF(Z84&gt;=$B$12,"OK","No Cumple"),"")</f>
        <v>OK</v>
      </c>
      <c r="AD84" s="147" t="str">
        <f t="shared" ref="AD84:AD87" si="170">IF(T84&gt;0,IF(AA84&gt;$B$14,"OK","No Cumple"),"")</f>
        <v>OK</v>
      </c>
      <c r="AE84" s="148">
        <f t="shared" ref="AE84:AG87" si="171">+IF(AB84="OK",1,0)</f>
        <v>1</v>
      </c>
      <c r="AF84" s="148">
        <f t="shared" si="171"/>
        <v>1</v>
      </c>
      <c r="AG84" s="148">
        <f t="shared" si="171"/>
        <v>1</v>
      </c>
      <c r="AH84" s="148">
        <f t="shared" ref="AH84:AH87" si="172">SUM(AE84:AG84)</f>
        <v>3</v>
      </c>
      <c r="AI84" s="147">
        <f t="shared" ref="AI84:AI87" si="173">IF(AH84=3,2*$B$7+U84,0)</f>
        <v>0.68199999999999994</v>
      </c>
      <c r="AJ84" s="149">
        <f>IF(AI84&gt;0,I84*VLOOKUP(T84,'$ alcantarillado'!$I$6:$K$22,3),0)</f>
        <v>2654586.666666667</v>
      </c>
      <c r="AK84" s="149">
        <f t="shared" si="136"/>
        <v>3508971.8400000031</v>
      </c>
      <c r="AL84" s="149">
        <f t="shared" si="137"/>
        <v>1575343.1170000019</v>
      </c>
      <c r="AM84" s="149">
        <f t="shared" si="22"/>
        <v>7738901.623666672</v>
      </c>
      <c r="AN84" s="180">
        <f>IF(AP53&gt;0,IF(AP181&gt;0,AP53+AP181,0),0)</f>
        <v>23087975.804000024</v>
      </c>
      <c r="AO84" s="161">
        <f t="shared" si="82"/>
        <v>30826877.427666694</v>
      </c>
      <c r="AP84" s="226"/>
      <c r="AQ84" s="142"/>
      <c r="AR84" s="165"/>
    </row>
    <row r="85" spans="1:44" x14ac:dyDescent="0.25">
      <c r="A85" s="230"/>
      <c r="B85" s="230"/>
      <c r="C85" s="230"/>
      <c r="D85" s="230"/>
      <c r="E85" s="151">
        <v>3</v>
      </c>
      <c r="F85" s="190">
        <f>IF(H60&lt;H188,H60,H188)</f>
        <v>46.89</v>
      </c>
      <c r="G85" s="151">
        <v>3</v>
      </c>
      <c r="H85" s="142">
        <f t="shared" ref="H85:I86" si="174">+H84</f>
        <v>46.64</v>
      </c>
      <c r="I85" s="142">
        <f t="shared" si="174"/>
        <v>80</v>
      </c>
      <c r="J85" s="143">
        <f t="shared" si="9"/>
        <v>3.1250000000000002E-3</v>
      </c>
      <c r="K85" s="142">
        <f t="shared" ref="K85:K86" si="175">+K84</f>
        <v>1264</v>
      </c>
      <c r="L85" s="128">
        <f t="shared" si="10"/>
        <v>15.456099999999999</v>
      </c>
      <c r="M85" s="144">
        <f t="shared" si="164"/>
        <v>1.5456099999999999E-2</v>
      </c>
      <c r="N85" s="144">
        <f t="shared" si="0"/>
        <v>0.17001388158888045</v>
      </c>
      <c r="O85" s="144">
        <f t="shared" si="1"/>
        <v>6.6934599050740333</v>
      </c>
      <c r="P85" s="145">
        <f t="shared" si="12"/>
        <v>8</v>
      </c>
      <c r="Q85" s="113">
        <f>IF(O85&gt;0,VLOOKUP(P85,'$ alcantarillado'!$I$5:$L$22,4,FALSE),"0")</f>
        <v>0.182</v>
      </c>
      <c r="R85" s="113">
        <f t="shared" si="2"/>
        <v>1.8535256452762897E-2</v>
      </c>
      <c r="S85" s="146">
        <f t="shared" si="3"/>
        <v>0.83387570273925649</v>
      </c>
      <c r="T85" s="145">
        <f>+IF(S85&gt;$B$13,VLOOKUP(P85,'$ alcantarillado'!$I$6:$N$22,5),P85)</f>
        <v>8</v>
      </c>
      <c r="U85" s="113">
        <f>IF(O85&gt;0,VLOOKUP(T85,'$ alcantarillado'!$I$5:$L$22,4),"0")</f>
        <v>0.182</v>
      </c>
      <c r="V85" s="113">
        <f t="shared" si="4"/>
        <v>1.8535256452762897E-2</v>
      </c>
      <c r="W85" s="146">
        <f t="shared" si="97"/>
        <v>0.83387570273925649</v>
      </c>
      <c r="X85" s="146">
        <f t="shared" si="165"/>
        <v>0.71246894962762097</v>
      </c>
      <c r="Y85" s="113">
        <f>IF(T85&gt;0,(VLOOKUP($W85,Relaciones!$A$4:$D$108,2)),"")</f>
        <v>0.99299999999999999</v>
      </c>
      <c r="Z85" s="146">
        <f t="shared" si="166"/>
        <v>0.70748166698022763</v>
      </c>
      <c r="AA85" s="146">
        <f t="shared" si="167"/>
        <v>0.14218749999999999</v>
      </c>
      <c r="AB85" s="147" t="str">
        <f t="shared" si="168"/>
        <v>OK</v>
      </c>
      <c r="AC85" s="147" t="str">
        <f t="shared" si="169"/>
        <v>OK</v>
      </c>
      <c r="AD85" s="147" t="str">
        <f t="shared" si="170"/>
        <v>No Cumple</v>
      </c>
      <c r="AE85" s="148">
        <f t="shared" si="171"/>
        <v>1</v>
      </c>
      <c r="AF85" s="148">
        <f t="shared" si="171"/>
        <v>1</v>
      </c>
      <c r="AG85" s="148">
        <f t="shared" si="171"/>
        <v>0</v>
      </c>
      <c r="AH85" s="148">
        <f t="shared" si="172"/>
        <v>2</v>
      </c>
      <c r="AI85" s="147">
        <f t="shared" si="173"/>
        <v>0</v>
      </c>
      <c r="AJ85" s="149">
        <f>IF(AI85&gt;0,I85*VLOOKUP(T85,'$ alcantarillado'!$I$6:$K$22,3),0)</f>
        <v>0</v>
      </c>
      <c r="AK85" s="149">
        <f t="shared" si="136"/>
        <v>0</v>
      </c>
      <c r="AL85" s="149">
        <f t="shared" si="137"/>
        <v>0</v>
      </c>
      <c r="AM85" s="149">
        <f t="shared" si="22"/>
        <v>0</v>
      </c>
      <c r="AN85" s="180">
        <f>IF(AP58&gt;0,IF(AP186&gt;0,AP58+AP186,0),0)</f>
        <v>23207405.804000024</v>
      </c>
      <c r="AO85" s="150" t="str">
        <f t="shared" si="82"/>
        <v/>
      </c>
      <c r="AP85" s="227"/>
      <c r="AQ85" s="142"/>
      <c r="AR85" s="165"/>
    </row>
    <row r="86" spans="1:44" x14ac:dyDescent="0.25">
      <c r="A86" s="230"/>
      <c r="B86" s="230"/>
      <c r="C86" s="230"/>
      <c r="D86" s="230"/>
      <c r="E86" s="151">
        <v>4</v>
      </c>
      <c r="F86" s="190">
        <f>IF(H65&lt;H193,H65,H193)</f>
        <v>46.765000000000001</v>
      </c>
      <c r="G86" s="151">
        <v>3</v>
      </c>
      <c r="H86" s="142">
        <f t="shared" si="174"/>
        <v>46.64</v>
      </c>
      <c r="I86" s="142">
        <f t="shared" si="174"/>
        <v>80</v>
      </c>
      <c r="J86" s="143">
        <f>+(F86-H86)/I86</f>
        <v>1.5625000000000001E-3</v>
      </c>
      <c r="K86" s="142">
        <f t="shared" si="175"/>
        <v>1264</v>
      </c>
      <c r="L86" s="128">
        <f t="shared" si="10"/>
        <v>15.456099999999999</v>
      </c>
      <c r="M86" s="144">
        <f t="shared" si="164"/>
        <v>1.5456099999999999E-2</v>
      </c>
      <c r="N86" s="144">
        <f t="shared" si="0"/>
        <v>0.19360987610428701</v>
      </c>
      <c r="O86" s="144">
        <f t="shared" si="1"/>
        <v>7.6224360670979143</v>
      </c>
      <c r="P86" s="145">
        <f t="shared" si="12"/>
        <v>8</v>
      </c>
      <c r="Q86" s="113">
        <f>IF(O86&gt;0,VLOOKUP(P86,'$ alcantarillado'!$I$5:$L$22,4,FALSE),"0")</f>
        <v>0.182</v>
      </c>
      <c r="R86" s="113">
        <f t="shared" si="2"/>
        <v>1.3106405528780356E-2</v>
      </c>
      <c r="S86" s="146">
        <f t="shared" si="3"/>
        <v>1.1792783281472521</v>
      </c>
      <c r="T86" s="145">
        <f>+IF(S86&gt;$B$13,VLOOKUP(P86,'$ alcantarillado'!$I$6:$N$22,5),P86)</f>
        <v>10</v>
      </c>
      <c r="U86" s="113">
        <f>IF(O86&gt;0,VLOOKUP(T86,'$ alcantarillado'!$I$5:$L$22,4),"0")</f>
        <v>0.22700000000000001</v>
      </c>
      <c r="V86" s="113">
        <f t="shared" si="4"/>
        <v>2.3624476083504924E-2</v>
      </c>
      <c r="W86" s="146">
        <f t="shared" si="97"/>
        <v>0.65424096370931817</v>
      </c>
      <c r="X86" s="146">
        <f t="shared" si="165"/>
        <v>0.5837415275508655</v>
      </c>
      <c r="Y86" s="113">
        <f>IF(T86&gt;0,(VLOOKUP($W86,Relaciones!$A$4:$D$108,2)),"")</f>
        <v>0.92200000000000004</v>
      </c>
      <c r="Z86" s="146">
        <f t="shared" si="166"/>
        <v>0.53820968840189798</v>
      </c>
      <c r="AA86" s="146">
        <f t="shared" si="167"/>
        <v>8.8671875000000011E-2</v>
      </c>
      <c r="AB86" s="147" t="str">
        <f t="shared" si="168"/>
        <v>OK</v>
      </c>
      <c r="AC86" s="147" t="str">
        <f t="shared" si="169"/>
        <v>OK</v>
      </c>
      <c r="AD86" s="147" t="str">
        <f t="shared" si="170"/>
        <v>No Cumple</v>
      </c>
      <c r="AE86" s="148">
        <f t="shared" si="171"/>
        <v>1</v>
      </c>
      <c r="AF86" s="148">
        <f t="shared" si="171"/>
        <v>1</v>
      </c>
      <c r="AG86" s="148">
        <f t="shared" si="171"/>
        <v>0</v>
      </c>
      <c r="AH86" s="148">
        <f t="shared" si="172"/>
        <v>2</v>
      </c>
      <c r="AI86" s="147">
        <f t="shared" si="173"/>
        <v>0</v>
      </c>
      <c r="AJ86" s="149">
        <f>IF(AI86&gt;0,I86*VLOOKUP(T86,'$ alcantarillado'!$I$6:$K$22,3),0)</f>
        <v>0</v>
      </c>
      <c r="AK86" s="149">
        <f t="shared" si="136"/>
        <v>0</v>
      </c>
      <c r="AL86" s="149">
        <f t="shared" si="137"/>
        <v>0</v>
      </c>
      <c r="AM86" s="149">
        <f t="shared" si="22"/>
        <v>0</v>
      </c>
      <c r="AN86" s="180">
        <f>IF(AP63&gt;0,IF(AP191&gt;0,AP63+AP191,0),0)</f>
        <v>23326835.804000027</v>
      </c>
      <c r="AO86" s="150" t="str">
        <f t="shared" si="82"/>
        <v/>
      </c>
      <c r="AP86" s="227"/>
      <c r="AQ86" s="142">
        <v>2</v>
      </c>
      <c r="AR86" s="165">
        <v>3</v>
      </c>
    </row>
    <row r="87" spans="1:44" ht="15.75" thickBot="1" x14ac:dyDescent="0.3">
      <c r="A87" s="230"/>
      <c r="B87" s="230"/>
      <c r="C87" s="230"/>
      <c r="D87" s="230"/>
      <c r="E87" s="152">
        <v>5</v>
      </c>
      <c r="F87" s="191">
        <f>IF(H70&lt;H193,H70,H193)</f>
        <v>46.765000000000001</v>
      </c>
      <c r="G87" s="152">
        <v>3</v>
      </c>
      <c r="H87" s="154">
        <f>+H86</f>
        <v>46.64</v>
      </c>
      <c r="I87" s="154">
        <f>+I86</f>
        <v>80</v>
      </c>
      <c r="J87" s="155">
        <f t="shared" si="9"/>
        <v>1.5625000000000001E-3</v>
      </c>
      <c r="K87" s="154">
        <f>+K86</f>
        <v>1264</v>
      </c>
      <c r="L87" s="153">
        <f t="shared" si="10"/>
        <v>15.456099999999999</v>
      </c>
      <c r="M87" s="156">
        <f t="shared" si="164"/>
        <v>1.5456099999999999E-2</v>
      </c>
      <c r="N87" s="156">
        <f t="shared" ref="N87:N147" si="176">+IF(J87&gt;0,((M87*$B$2*(4^(5/3))/((J87^0.5)*PI()*$B$6))^(3/8)),0)</f>
        <v>0.19360987610428701</v>
      </c>
      <c r="O87" s="156">
        <f t="shared" ref="O87:O147" si="177">+N87*(100/2.54)</f>
        <v>7.6224360670979143</v>
      </c>
      <c r="P87" s="157">
        <f t="shared" si="12"/>
        <v>8</v>
      </c>
      <c r="Q87" s="113">
        <f>IF(O87&gt;0,VLOOKUP(P87,'$ alcantarillado'!$I$5:$L$22,4,FALSE),"0")</f>
        <v>0.182</v>
      </c>
      <c r="R87" s="160">
        <f t="shared" ref="R87:R147" si="178">IF(P87&gt;0,PI()*((Q87)^(8/3))*((J87)^0.5)/($B$2*4^(5/3)),"")</f>
        <v>1.3106405528780356E-2</v>
      </c>
      <c r="S87" s="146">
        <f t="shared" ref="S87:S147" si="179">IF(P87&gt;0,+M87/R87,0)</f>
        <v>1.1792783281472521</v>
      </c>
      <c r="T87" s="145">
        <f>+IF(S87&gt;$B$13,VLOOKUP(P87,'$ alcantarillado'!$I$6:$N$22,5),P87)</f>
        <v>10</v>
      </c>
      <c r="U87" s="113">
        <f>IF(O87&gt;0,VLOOKUP(T87,'$ alcantarillado'!$I$5:$L$22,4),"0")</f>
        <v>0.22700000000000001</v>
      </c>
      <c r="V87" s="113">
        <f t="shared" ref="V87:V147" si="180">IF(T87&gt;0,PI()*((U87)^(8/3))*((J87)^0.5)/($B$2*4^(5/3)),"")</f>
        <v>2.3624476083504924E-2</v>
      </c>
      <c r="W87" s="146">
        <f t="shared" ref="W87:W118" si="181">IF(T87&gt;0,M87/V87,0)</f>
        <v>0.65424096370931817</v>
      </c>
      <c r="X87" s="146">
        <f t="shared" si="165"/>
        <v>0.5837415275508655</v>
      </c>
      <c r="Y87" s="113">
        <f>IF(T87&gt;0,(VLOOKUP($W87,Relaciones!$A$4:$D$108,2)),"")</f>
        <v>0.92200000000000004</v>
      </c>
      <c r="Z87" s="146">
        <f t="shared" si="166"/>
        <v>0.53820968840189798</v>
      </c>
      <c r="AA87" s="146">
        <f t="shared" si="167"/>
        <v>8.8671875000000011E-2</v>
      </c>
      <c r="AB87" s="147" t="str">
        <f t="shared" si="168"/>
        <v>OK</v>
      </c>
      <c r="AC87" s="147" t="str">
        <f t="shared" si="169"/>
        <v>OK</v>
      </c>
      <c r="AD87" s="147" t="str">
        <f t="shared" si="170"/>
        <v>No Cumple</v>
      </c>
      <c r="AE87" s="148">
        <f t="shared" si="171"/>
        <v>1</v>
      </c>
      <c r="AF87" s="148">
        <f t="shared" si="171"/>
        <v>1</v>
      </c>
      <c r="AG87" s="148">
        <f t="shared" si="171"/>
        <v>0</v>
      </c>
      <c r="AH87" s="148">
        <f t="shared" si="172"/>
        <v>2</v>
      </c>
      <c r="AI87" s="147">
        <f t="shared" si="173"/>
        <v>0</v>
      </c>
      <c r="AJ87" s="158">
        <f>IF(AI87&gt;0,I87*VLOOKUP(T87,'$ alcantarillado'!$I$6:$K$22,3),0)</f>
        <v>0</v>
      </c>
      <c r="AK87" s="149">
        <f t="shared" si="136"/>
        <v>0</v>
      </c>
      <c r="AL87" s="149">
        <f t="shared" si="137"/>
        <v>0</v>
      </c>
      <c r="AM87" s="158">
        <f t="shared" si="22"/>
        <v>0</v>
      </c>
      <c r="AN87" s="180">
        <f>IF(AP68&gt;0,IF(AP196&gt;0,AP68+AP196,0),0)</f>
        <v>22456089.33366669</v>
      </c>
      <c r="AO87" s="159" t="str">
        <f t="shared" si="82"/>
        <v/>
      </c>
      <c r="AP87" s="228"/>
      <c r="AQ87" s="154"/>
      <c r="AR87" s="166"/>
    </row>
    <row r="88" spans="1:44" x14ac:dyDescent="0.25">
      <c r="A88" s="230"/>
      <c r="B88" s="230"/>
      <c r="C88" s="230"/>
      <c r="D88" s="230"/>
      <c r="E88" s="127">
        <v>1</v>
      </c>
      <c r="F88" s="189">
        <f>IF(H52&lt;H176,H52,H176)</f>
        <v>47.14</v>
      </c>
      <c r="G88" s="127">
        <v>4</v>
      </c>
      <c r="H88" s="132">
        <f>+H83-$B$15</f>
        <v>46.515000000000001</v>
      </c>
      <c r="I88" s="142">
        <f>+I83</f>
        <v>80</v>
      </c>
      <c r="J88" s="143">
        <f>+(F88-H88)/I88</f>
        <v>7.8125E-3</v>
      </c>
      <c r="K88" s="142">
        <f>+K83</f>
        <v>1264</v>
      </c>
      <c r="L88" s="132">
        <f>IF(K88&lt;38,K88^0.3686*0.7401,IF(K88&lt;235,K88^0.4193*0.6215,IF(K88&lt;932,K88*0.0092+4.2493,K88*0.0069+6.7345)))</f>
        <v>15.456099999999999</v>
      </c>
      <c r="M88" s="133">
        <f>+L88/1000</f>
        <v>1.5456099999999999E-2</v>
      </c>
      <c r="N88" s="133">
        <f t="shared" si="176"/>
        <v>0.1431761338954268</v>
      </c>
      <c r="O88" s="133">
        <f t="shared" si="177"/>
        <v>5.6368556651742834</v>
      </c>
      <c r="P88" s="134">
        <f t="shared" ref="P88:P147" si="182">IF(O88&lt;0.1,0,IF(O88&lt;4,6,EVEN(O88)))</f>
        <v>6</v>
      </c>
      <c r="Q88" s="135">
        <f>IF(O88&gt;0,VLOOKUP(P88,'$ alcantarillado'!$I$5:$L$22,4,FALSE),"0")</f>
        <v>0.14499999999999999</v>
      </c>
      <c r="R88" s="135">
        <f t="shared" si="178"/>
        <v>1.5986727597372376E-2</v>
      </c>
      <c r="S88" s="136">
        <f t="shared" si="179"/>
        <v>0.96680824176552593</v>
      </c>
      <c r="T88" s="134">
        <f>+IF(S88&gt;$B$13,VLOOKUP(P88,'$ alcantarillado'!$I$6:$N$22,5),P88)</f>
        <v>8</v>
      </c>
      <c r="U88" s="135">
        <f>IF(O88&gt;0,VLOOKUP(T88,'$ alcantarillado'!$I$5:$L$22,4),"0")</f>
        <v>0.182</v>
      </c>
      <c r="V88" s="135">
        <f t="shared" si="180"/>
        <v>2.9306813703031953E-2</v>
      </c>
      <c r="W88" s="136">
        <f t="shared" si="181"/>
        <v>0.52738930122591177</v>
      </c>
      <c r="X88" s="136">
        <f>IF(T88&gt;0,4*V88/(PI()*(U88)^2),"")</f>
        <v>1.1265123214855279</v>
      </c>
      <c r="Y88" s="135">
        <f>IF(T88&gt;0,(VLOOKUP($W88,Relaciones!$A$4:$D$108,2)),"")</f>
        <v>0.86</v>
      </c>
      <c r="Z88" s="136">
        <f>IF(T88&gt;0,Y88*X88,"")</f>
        <v>0.96880059647755401</v>
      </c>
      <c r="AA88" s="136">
        <f>IF(T88&gt;0,250*U88*J88,"")</f>
        <v>0.35546875</v>
      </c>
      <c r="AB88" s="137" t="str">
        <f>IF(T88&gt;0,IF(W88&lt;=$B$13,"OK","No Cumple"),"")</f>
        <v>OK</v>
      </c>
      <c r="AC88" s="137" t="str">
        <f>IF(T88&gt;0,IF(Z88&gt;=$B$12,"OK","No Cumple"),"")</f>
        <v>OK</v>
      </c>
      <c r="AD88" s="137" t="str">
        <f>IF(T88&gt;0,IF(AA88&gt;$B$14,"OK","No Cumple"),"")</f>
        <v>OK</v>
      </c>
      <c r="AE88" s="138">
        <f>+IF(AB88="OK",1,0)</f>
        <v>1</v>
      </c>
      <c r="AF88" s="138">
        <f>+IF(AC88="OK",1,0)</f>
        <v>1</v>
      </c>
      <c r="AG88" s="138">
        <f>+IF(AD88="OK",1,0)</f>
        <v>1</v>
      </c>
      <c r="AH88" s="138">
        <f>SUM(AE88:AG88)</f>
        <v>3</v>
      </c>
      <c r="AI88" s="137">
        <f>IF(AH88=3,2*$B$7+U88,0)</f>
        <v>0.68199999999999994</v>
      </c>
      <c r="AJ88" s="139">
        <f>IF(AI88&gt;0,I88*VLOOKUP(T88,'$ alcantarillado'!$I$6:$K$22,3),0)</f>
        <v>2654586.666666667</v>
      </c>
      <c r="AK88" s="139">
        <f t="shared" si="136"/>
        <v>3447591.8400000036</v>
      </c>
      <c r="AL88" s="139">
        <f t="shared" si="137"/>
        <v>1488095.4920000019</v>
      </c>
      <c r="AM88" s="139">
        <f>IF(AJ88&gt;0,AJ88+AK88+AL88,0)</f>
        <v>7590273.998666672</v>
      </c>
      <c r="AN88" s="179">
        <f>IF(AP48&gt;0,IF(AP176&gt;0,AP48+AP176,0),0)</f>
        <v>0</v>
      </c>
      <c r="AO88" s="140" t="str">
        <f>IF((AM88)&gt;0,IF(AN88&gt;0,AM88+AN88,""),"")</f>
        <v/>
      </c>
      <c r="AP88" s="217">
        <f>+MIN(AO88:AO92)</f>
        <v>30888257.427666694</v>
      </c>
      <c r="AQ88" s="129"/>
      <c r="AR88" s="163"/>
    </row>
    <row r="89" spans="1:44" x14ac:dyDescent="0.25">
      <c r="A89" s="230"/>
      <c r="B89" s="230"/>
      <c r="C89" s="230"/>
      <c r="D89" s="230"/>
      <c r="E89" s="141">
        <v>2</v>
      </c>
      <c r="F89" s="190">
        <f>IF(H55&lt;H181,H55,H181)</f>
        <v>47.015000000000001</v>
      </c>
      <c r="G89" s="141">
        <v>4</v>
      </c>
      <c r="H89" s="128">
        <f>+H88</f>
        <v>46.515000000000001</v>
      </c>
      <c r="I89" s="142">
        <f>+I88</f>
        <v>80</v>
      </c>
      <c r="J89" s="143">
        <f t="shared" ref="J89:J97" si="183">+(F89-H89)/I89</f>
        <v>6.2500000000000003E-3</v>
      </c>
      <c r="K89" s="142">
        <f>+K88</f>
        <v>1264</v>
      </c>
      <c r="L89" s="128">
        <f t="shared" ref="L89:L97" si="184">IF(K89&lt;38,K89^0.3686*0.7401,IF(K89&lt;235,K89^0.4193*0.6215,IF(K89&lt;932,K89*0.0092+4.2493,K89*0.0069+6.7345)))</f>
        <v>15.456099999999999</v>
      </c>
      <c r="M89" s="144">
        <f t="shared" ref="M89:M92" si="185">+L89/1000</f>
        <v>1.5456099999999999E-2</v>
      </c>
      <c r="N89" s="144">
        <f t="shared" si="176"/>
        <v>0.14929362341696081</v>
      </c>
      <c r="O89" s="144">
        <f t="shared" si="177"/>
        <v>5.8777017093291661</v>
      </c>
      <c r="P89" s="145">
        <f t="shared" si="182"/>
        <v>6</v>
      </c>
      <c r="Q89" s="113">
        <f>IF(O89&gt;0,VLOOKUP(P89,'$ alcantarillado'!$I$5:$L$22,4,FALSE),"0")</f>
        <v>0.14499999999999999</v>
      </c>
      <c r="R89" s="113">
        <f t="shared" si="178"/>
        <v>1.4298963858198607E-2</v>
      </c>
      <c r="S89" s="146">
        <f t="shared" si="179"/>
        <v>1.0809244748973839</v>
      </c>
      <c r="T89" s="145">
        <f>+IF(S89&gt;$B$13,VLOOKUP(P89,'$ alcantarillado'!$I$6:$N$22,5),P89)</f>
        <v>8</v>
      </c>
      <c r="U89" s="113">
        <f>IF(O89&gt;0,VLOOKUP(T89,'$ alcantarillado'!$I$5:$L$22,4),"0")</f>
        <v>0.182</v>
      </c>
      <c r="V89" s="113">
        <f t="shared" si="180"/>
        <v>2.6212811057560712E-2</v>
      </c>
      <c r="W89" s="146">
        <f t="shared" si="181"/>
        <v>0.58963916407362604</v>
      </c>
      <c r="X89" s="146">
        <f t="shared" ref="X89:X92" si="186">IF(T89&gt;0,4*V89/(PI()*(U89)^2),"")</f>
        <v>1.0075832513330949</v>
      </c>
      <c r="Y89" s="113">
        <f>IF(T89&gt;0,(VLOOKUP($W89,Relaciones!$A$4:$D$108,2)),"")</f>
        <v>0.89</v>
      </c>
      <c r="Z89" s="146">
        <f t="shared" ref="Z89:Z92" si="187">IF(T89&gt;0,Y89*X89,"")</f>
        <v>0.8967490936864545</v>
      </c>
      <c r="AA89" s="146">
        <f t="shared" ref="AA89:AA92" si="188">IF(T89&gt;0,250*U89*J89,"")</f>
        <v>0.28437499999999999</v>
      </c>
      <c r="AB89" s="147" t="str">
        <f t="shared" ref="AB89:AB92" si="189">IF(T89&gt;0,IF(W89&lt;=$B$13,"OK","No Cumple"),"")</f>
        <v>OK</v>
      </c>
      <c r="AC89" s="147" t="str">
        <f t="shared" ref="AC89:AC92" si="190">IF(T89&gt;0,IF(Z89&gt;=$B$12,"OK","No Cumple"),"")</f>
        <v>OK</v>
      </c>
      <c r="AD89" s="147" t="str">
        <f t="shared" ref="AD89:AD92" si="191">IF(T89&gt;0,IF(AA89&gt;$B$14,"OK","No Cumple"),"")</f>
        <v>OK</v>
      </c>
      <c r="AE89" s="148">
        <f t="shared" ref="AE89:AG92" si="192">+IF(AB89="OK",1,0)</f>
        <v>1</v>
      </c>
      <c r="AF89" s="148">
        <f t="shared" si="192"/>
        <v>1</v>
      </c>
      <c r="AG89" s="148">
        <f t="shared" si="192"/>
        <v>1</v>
      </c>
      <c r="AH89" s="148">
        <f t="shared" ref="AH89:AH92" si="193">SUM(AE89:AG89)</f>
        <v>3</v>
      </c>
      <c r="AI89" s="147">
        <f t="shared" ref="AI89:AI92" si="194">IF(AH89=3,2*$B$7+U89,0)</f>
        <v>0.68199999999999994</v>
      </c>
      <c r="AJ89" s="149">
        <f>IF(AI89&gt;0,I89*VLOOKUP(T89,'$ alcantarillado'!$I$6:$K$22,3),0)</f>
        <v>2654586.666666667</v>
      </c>
      <c r="AK89" s="149">
        <f t="shared" si="136"/>
        <v>3570351.8400000036</v>
      </c>
      <c r="AL89" s="149">
        <f t="shared" si="137"/>
        <v>1575343.1170000019</v>
      </c>
      <c r="AM89" s="149">
        <f t="shared" ref="AM89:AM97" si="195">IF(AJ89&gt;0,AJ89+AK89+AL89,0)</f>
        <v>7800281.623666672</v>
      </c>
      <c r="AN89" s="180">
        <f>IF(AP53&gt;0,IF(AP181&gt;0,AP53+AP181,0),0)</f>
        <v>23087975.804000024</v>
      </c>
      <c r="AO89" s="150">
        <f t="shared" si="82"/>
        <v>30888257.427666694</v>
      </c>
      <c r="AP89" s="218"/>
      <c r="AQ89" s="142"/>
      <c r="AR89" s="165"/>
    </row>
    <row r="90" spans="1:44" x14ac:dyDescent="0.25">
      <c r="A90" s="230"/>
      <c r="B90" s="230"/>
      <c r="C90" s="230"/>
      <c r="D90" s="230"/>
      <c r="E90" s="151">
        <v>3</v>
      </c>
      <c r="F90" s="190">
        <f>IF(H60&lt;H187,H60,H187)</f>
        <v>46.89</v>
      </c>
      <c r="G90" s="151">
        <v>4</v>
      </c>
      <c r="H90" s="128">
        <f t="shared" ref="H90:I91" si="196">+H89</f>
        <v>46.515000000000001</v>
      </c>
      <c r="I90" s="142">
        <f t="shared" si="196"/>
        <v>80</v>
      </c>
      <c r="J90" s="143">
        <f t="shared" si="183"/>
        <v>4.6874999999999998E-3</v>
      </c>
      <c r="K90" s="142">
        <f t="shared" ref="K90:K91" si="197">+K89</f>
        <v>1264</v>
      </c>
      <c r="L90" s="128">
        <f t="shared" si="184"/>
        <v>15.456099999999999</v>
      </c>
      <c r="M90" s="144">
        <f t="shared" si="185"/>
        <v>1.5456099999999999E-2</v>
      </c>
      <c r="N90" s="144">
        <f t="shared" si="176"/>
        <v>0.15756772760132909</v>
      </c>
      <c r="O90" s="144">
        <f t="shared" si="177"/>
        <v>6.2034538425720118</v>
      </c>
      <c r="P90" s="145">
        <f t="shared" si="182"/>
        <v>8</v>
      </c>
      <c r="Q90" s="113">
        <f>IF(O90&gt;0,VLOOKUP(P90,'$ alcantarillado'!$I$5:$L$22,4,FALSE),"0")</f>
        <v>0.182</v>
      </c>
      <c r="R90" s="113">
        <f t="shared" si="178"/>
        <v>2.2700960280449212E-2</v>
      </c>
      <c r="S90" s="146">
        <f t="shared" si="179"/>
        <v>0.68085666020530788</v>
      </c>
      <c r="T90" s="145">
        <f>+IF(S90&gt;$B$13,VLOOKUP(P90,'$ alcantarillado'!$I$6:$N$22,5),P90)</f>
        <v>8</v>
      </c>
      <c r="U90" s="113">
        <f>IF(O90&gt;0,VLOOKUP(T90,'$ alcantarillado'!$I$5:$L$22,4),"0")</f>
        <v>0.182</v>
      </c>
      <c r="V90" s="113">
        <f t="shared" si="180"/>
        <v>2.2700960280449212E-2</v>
      </c>
      <c r="W90" s="146">
        <f t="shared" si="181"/>
        <v>0.68085666020530788</v>
      </c>
      <c r="X90" s="146">
        <f t="shared" si="186"/>
        <v>0.87259269208218104</v>
      </c>
      <c r="Y90" s="113">
        <f>IF(T90&gt;0,(VLOOKUP($W90,Relaciones!$A$4:$D$108,2)),"")</f>
        <v>0.93600000000000005</v>
      </c>
      <c r="Z90" s="146">
        <f t="shared" si="187"/>
        <v>0.81674675978892153</v>
      </c>
      <c r="AA90" s="146">
        <f t="shared" si="188"/>
        <v>0.21328125000000001</v>
      </c>
      <c r="AB90" s="147" t="str">
        <f t="shared" si="189"/>
        <v>OK</v>
      </c>
      <c r="AC90" s="147" t="str">
        <f t="shared" si="190"/>
        <v>OK</v>
      </c>
      <c r="AD90" s="147" t="str">
        <f t="shared" si="191"/>
        <v>OK</v>
      </c>
      <c r="AE90" s="148">
        <f t="shared" si="192"/>
        <v>1</v>
      </c>
      <c r="AF90" s="148">
        <f t="shared" si="192"/>
        <v>1</v>
      </c>
      <c r="AG90" s="148">
        <f t="shared" si="192"/>
        <v>1</v>
      </c>
      <c r="AH90" s="148">
        <f t="shared" si="193"/>
        <v>3</v>
      </c>
      <c r="AI90" s="147">
        <f t="shared" si="194"/>
        <v>0.68199999999999994</v>
      </c>
      <c r="AJ90" s="149">
        <f>IF(AI90&gt;0,I90*VLOOKUP(T90,'$ alcantarillado'!$I$6:$K$22,3),0)</f>
        <v>2654586.666666667</v>
      </c>
      <c r="AK90" s="149">
        <f t="shared" si="136"/>
        <v>3693111.8400000036</v>
      </c>
      <c r="AL90" s="149">
        <f t="shared" si="137"/>
        <v>1662590.7420000019</v>
      </c>
      <c r="AM90" s="149">
        <f t="shared" si="195"/>
        <v>8010289.248666672</v>
      </c>
      <c r="AN90" s="180">
        <f>IF(AP58&gt;0,IF(AP186&gt;0,AP58+AP186,0),0)</f>
        <v>23207405.804000024</v>
      </c>
      <c r="AO90" s="150">
        <f t="shared" si="82"/>
        <v>31217695.052666694</v>
      </c>
      <c r="AP90" s="219"/>
      <c r="AQ90" s="142">
        <v>2</v>
      </c>
      <c r="AR90" s="165">
        <v>4</v>
      </c>
    </row>
    <row r="91" spans="1:44" x14ac:dyDescent="0.25">
      <c r="A91" s="230"/>
      <c r="B91" s="230"/>
      <c r="C91" s="230"/>
      <c r="D91" s="230"/>
      <c r="E91" s="151">
        <v>4</v>
      </c>
      <c r="F91" s="190">
        <f>IF(H66&lt;H192,H66,H192)</f>
        <v>46.765000000000001</v>
      </c>
      <c r="G91" s="151">
        <v>4</v>
      </c>
      <c r="H91" s="128">
        <f t="shared" si="196"/>
        <v>46.515000000000001</v>
      </c>
      <c r="I91" s="142">
        <f t="shared" si="196"/>
        <v>80</v>
      </c>
      <c r="J91" s="143">
        <f>+(F91-H91)/I91</f>
        <v>3.1250000000000002E-3</v>
      </c>
      <c r="K91" s="142">
        <f t="shared" si="197"/>
        <v>1264</v>
      </c>
      <c r="L91" s="128">
        <f t="shared" si="184"/>
        <v>15.456099999999999</v>
      </c>
      <c r="M91" s="144">
        <f t="shared" si="185"/>
        <v>1.5456099999999999E-2</v>
      </c>
      <c r="N91" s="144">
        <f t="shared" si="176"/>
        <v>0.17001388158888045</v>
      </c>
      <c r="O91" s="144">
        <f t="shared" si="177"/>
        <v>6.6934599050740333</v>
      </c>
      <c r="P91" s="145">
        <f t="shared" si="182"/>
        <v>8</v>
      </c>
      <c r="Q91" s="113">
        <f>IF(O91&gt;0,VLOOKUP(P91,'$ alcantarillado'!$I$5:$L$22,4,FALSE),"0")</f>
        <v>0.182</v>
      </c>
      <c r="R91" s="113">
        <f t="shared" si="178"/>
        <v>1.8535256452762897E-2</v>
      </c>
      <c r="S91" s="146">
        <f t="shared" si="179"/>
        <v>0.83387570273925649</v>
      </c>
      <c r="T91" s="145">
        <f>+IF(S91&gt;$B$13,VLOOKUP(P91,'$ alcantarillado'!$I$6:$N$22,5),P91)</f>
        <v>8</v>
      </c>
      <c r="U91" s="113">
        <f>IF(O91&gt;0,VLOOKUP(T91,'$ alcantarillado'!$I$5:$L$22,4),"0")</f>
        <v>0.182</v>
      </c>
      <c r="V91" s="113">
        <f t="shared" si="180"/>
        <v>1.8535256452762897E-2</v>
      </c>
      <c r="W91" s="146">
        <f t="shared" si="181"/>
        <v>0.83387570273925649</v>
      </c>
      <c r="X91" s="146">
        <f t="shared" si="186"/>
        <v>0.71246894962762097</v>
      </c>
      <c r="Y91" s="113">
        <f>IF(T91&gt;0,(VLOOKUP($W91,Relaciones!$A$4:$D$108,2)),"")</f>
        <v>0.99299999999999999</v>
      </c>
      <c r="Z91" s="146">
        <f t="shared" si="187"/>
        <v>0.70748166698022763</v>
      </c>
      <c r="AA91" s="146">
        <f t="shared" si="188"/>
        <v>0.14218749999999999</v>
      </c>
      <c r="AB91" s="147" t="str">
        <f t="shared" si="189"/>
        <v>OK</v>
      </c>
      <c r="AC91" s="147" t="str">
        <f t="shared" si="190"/>
        <v>OK</v>
      </c>
      <c r="AD91" s="147" t="str">
        <f t="shared" si="191"/>
        <v>No Cumple</v>
      </c>
      <c r="AE91" s="148">
        <f t="shared" si="192"/>
        <v>1</v>
      </c>
      <c r="AF91" s="148">
        <f t="shared" si="192"/>
        <v>1</v>
      </c>
      <c r="AG91" s="148">
        <f t="shared" si="192"/>
        <v>0</v>
      </c>
      <c r="AH91" s="148">
        <f t="shared" si="193"/>
        <v>2</v>
      </c>
      <c r="AI91" s="147">
        <f t="shared" si="194"/>
        <v>0</v>
      </c>
      <c r="AJ91" s="149">
        <f>IF(AI91&gt;0,I91*VLOOKUP(T91,'$ alcantarillado'!$I$6:$K$22,3),0)</f>
        <v>0</v>
      </c>
      <c r="AK91" s="149">
        <f t="shared" si="136"/>
        <v>0</v>
      </c>
      <c r="AL91" s="149">
        <f t="shared" si="137"/>
        <v>0</v>
      </c>
      <c r="AM91" s="149">
        <f t="shared" si="195"/>
        <v>0</v>
      </c>
      <c r="AN91" s="180">
        <f>IF(AP63&gt;0,IF(AP191&gt;0,AP63+AP191,0),0)</f>
        <v>23326835.804000027</v>
      </c>
      <c r="AO91" s="150" t="str">
        <f t="shared" si="82"/>
        <v/>
      </c>
      <c r="AP91" s="219"/>
      <c r="AQ91" s="142"/>
      <c r="AR91" s="165"/>
    </row>
    <row r="92" spans="1:44" ht="15.75" thickBot="1" x14ac:dyDescent="0.3">
      <c r="A92" s="230"/>
      <c r="B92" s="230"/>
      <c r="C92" s="230"/>
      <c r="D92" s="230"/>
      <c r="E92" s="152">
        <v>5</v>
      </c>
      <c r="F92" s="191">
        <f>IF(H69&lt;H196,H69,H196)</f>
        <v>46.64</v>
      </c>
      <c r="G92" s="152">
        <v>4</v>
      </c>
      <c r="H92" s="153">
        <f>+H91</f>
        <v>46.515000000000001</v>
      </c>
      <c r="I92" s="154">
        <f>+I91</f>
        <v>80</v>
      </c>
      <c r="J92" s="155">
        <f t="shared" si="183"/>
        <v>1.5625000000000001E-3</v>
      </c>
      <c r="K92" s="154">
        <f>+K91</f>
        <v>1264</v>
      </c>
      <c r="L92" s="153">
        <f t="shared" si="184"/>
        <v>15.456099999999999</v>
      </c>
      <c r="M92" s="156">
        <f t="shared" si="185"/>
        <v>1.5456099999999999E-2</v>
      </c>
      <c r="N92" s="156">
        <f t="shared" si="176"/>
        <v>0.19360987610428701</v>
      </c>
      <c r="O92" s="156">
        <f t="shared" si="177"/>
        <v>7.6224360670979143</v>
      </c>
      <c r="P92" s="157">
        <f t="shared" si="182"/>
        <v>8</v>
      </c>
      <c r="Q92" s="113">
        <f>IF(O92&gt;0,VLOOKUP(P92,'$ alcantarillado'!$I$5:$L$22,4,FALSE),"0")</f>
        <v>0.182</v>
      </c>
      <c r="R92" s="160">
        <f t="shared" si="178"/>
        <v>1.3106405528780356E-2</v>
      </c>
      <c r="S92" s="146">
        <f t="shared" si="179"/>
        <v>1.1792783281472521</v>
      </c>
      <c r="T92" s="145">
        <f>+IF(S92&gt;$B$13,VLOOKUP(P92,'$ alcantarillado'!$I$6:$N$22,5),P92)</f>
        <v>10</v>
      </c>
      <c r="U92" s="113">
        <f>IF(O92&gt;0,VLOOKUP(T92,'$ alcantarillado'!$I$5:$L$22,4),"0")</f>
        <v>0.22700000000000001</v>
      </c>
      <c r="V92" s="113">
        <f t="shared" si="180"/>
        <v>2.3624476083504924E-2</v>
      </c>
      <c r="W92" s="146">
        <f t="shared" si="181"/>
        <v>0.65424096370931817</v>
      </c>
      <c r="X92" s="146">
        <f t="shared" si="186"/>
        <v>0.5837415275508655</v>
      </c>
      <c r="Y92" s="113">
        <f>IF(T92&gt;0,(VLOOKUP($W92,Relaciones!$A$4:$D$108,2)),"")</f>
        <v>0.92200000000000004</v>
      </c>
      <c r="Z92" s="146">
        <f t="shared" si="187"/>
        <v>0.53820968840189798</v>
      </c>
      <c r="AA92" s="146">
        <f t="shared" si="188"/>
        <v>8.8671875000000011E-2</v>
      </c>
      <c r="AB92" s="147" t="str">
        <f t="shared" si="189"/>
        <v>OK</v>
      </c>
      <c r="AC92" s="147" t="str">
        <f t="shared" si="190"/>
        <v>OK</v>
      </c>
      <c r="AD92" s="147" t="str">
        <f t="shared" si="191"/>
        <v>No Cumple</v>
      </c>
      <c r="AE92" s="148">
        <f t="shared" si="192"/>
        <v>1</v>
      </c>
      <c r="AF92" s="148">
        <f t="shared" si="192"/>
        <v>1</v>
      </c>
      <c r="AG92" s="148">
        <f t="shared" si="192"/>
        <v>0</v>
      </c>
      <c r="AH92" s="148">
        <f t="shared" si="193"/>
        <v>2</v>
      </c>
      <c r="AI92" s="147">
        <f t="shared" si="194"/>
        <v>0</v>
      </c>
      <c r="AJ92" s="158">
        <f>IF(AI92&gt;0,I92*VLOOKUP(T92,'$ alcantarillado'!$I$6:$K$22,3),0)</f>
        <v>0</v>
      </c>
      <c r="AK92" s="149">
        <f t="shared" si="136"/>
        <v>0</v>
      </c>
      <c r="AL92" s="149">
        <f t="shared" si="137"/>
        <v>0</v>
      </c>
      <c r="AM92" s="158">
        <f t="shared" si="195"/>
        <v>0</v>
      </c>
      <c r="AN92" s="181">
        <f>IF(AP68&gt;0,IF(AP196&gt;0,AP68+AP196,0),0)</f>
        <v>22456089.33366669</v>
      </c>
      <c r="AO92" s="159" t="str">
        <f t="shared" si="82"/>
        <v/>
      </c>
      <c r="AP92" s="220"/>
      <c r="AQ92" s="154"/>
      <c r="AR92" s="166"/>
    </row>
    <row r="93" spans="1:44" x14ac:dyDescent="0.25">
      <c r="A93" s="230"/>
      <c r="B93" s="230"/>
      <c r="C93" s="230"/>
      <c r="D93" s="230"/>
      <c r="E93" s="127">
        <v>1</v>
      </c>
      <c r="F93" s="189">
        <f>IF(H49&lt;H176,H49,H176)</f>
        <v>47.14</v>
      </c>
      <c r="G93" s="127">
        <v>5</v>
      </c>
      <c r="H93" s="132">
        <f>+H83-2*$B$15</f>
        <v>46.39</v>
      </c>
      <c r="I93" s="142">
        <f>+I88</f>
        <v>80</v>
      </c>
      <c r="J93" s="143">
        <f>+(F93-H93)/I93</f>
        <v>9.3749999999999997E-3</v>
      </c>
      <c r="K93" s="142">
        <f>+K88</f>
        <v>1264</v>
      </c>
      <c r="L93" s="132">
        <f>IF(K93&lt;38,K93^0.3686*0.7401,IF(K93&lt;235,K93^0.4193*0.6215,IF(K93&lt;932,K93*0.0092+4.2493,K93*0.0069+6.7345)))</f>
        <v>15.456099999999999</v>
      </c>
      <c r="M93" s="133">
        <f>+L93/1000</f>
        <v>1.5456099999999999E-2</v>
      </c>
      <c r="N93" s="133">
        <f t="shared" si="176"/>
        <v>0.13836433100247289</v>
      </c>
      <c r="O93" s="133">
        <f t="shared" si="177"/>
        <v>5.4474146063965705</v>
      </c>
      <c r="P93" s="134">
        <f t="shared" si="182"/>
        <v>6</v>
      </c>
      <c r="Q93" s="135">
        <f>IF(O93&gt;0,VLOOKUP(P93,'$ alcantarillado'!$I$5:$L$22,4,FALSE),"0")</f>
        <v>0.14499999999999999</v>
      </c>
      <c r="R93" s="135">
        <f t="shared" si="178"/>
        <v>1.7512582651542437E-2</v>
      </c>
      <c r="S93" s="136">
        <f t="shared" si="179"/>
        <v>0.88257113799481135</v>
      </c>
      <c r="T93" s="134">
        <f>+IF(S93&gt;$B$13,VLOOKUP(P93,'$ alcantarillado'!$I$6:$N$22,5),P93)</f>
        <v>8</v>
      </c>
      <c r="U93" s="135">
        <f>IF(O93&gt;0,VLOOKUP(T93,'$ alcantarillado'!$I$5:$L$22,4),"0")</f>
        <v>0.182</v>
      </c>
      <c r="V93" s="135">
        <f t="shared" si="180"/>
        <v>3.2104005907504223E-2</v>
      </c>
      <c r="W93" s="136">
        <f t="shared" si="181"/>
        <v>0.48143836144719804</v>
      </c>
      <c r="X93" s="136">
        <f>IF(T93&gt;0,4*V93/(PI()*(U93)^2),"")</f>
        <v>1.2340324195702708</v>
      </c>
      <c r="Y93" s="135">
        <f>IF(T93&gt;0,(VLOOKUP($W93,Relaciones!$A$4:$D$108,2)),"")</f>
        <v>0.84</v>
      </c>
      <c r="Z93" s="136">
        <f>IF(T93&gt;0,Y93*X93,"")</f>
        <v>1.0365872324390275</v>
      </c>
      <c r="AA93" s="136">
        <f>IF(T93&gt;0,250*U93*J93,"")</f>
        <v>0.42656250000000001</v>
      </c>
      <c r="AB93" s="137" t="str">
        <f>IF(T93&gt;0,IF(W93&lt;=$B$13,"OK","No Cumple"),"")</f>
        <v>OK</v>
      </c>
      <c r="AC93" s="137" t="str">
        <f>IF(T93&gt;0,IF(Z93&gt;=$B$12,"OK","No Cumple"),"")</f>
        <v>OK</v>
      </c>
      <c r="AD93" s="137" t="str">
        <f>IF(T93&gt;0,IF(AA93&gt;$B$14,"OK","No Cumple"),"")</f>
        <v>OK</v>
      </c>
      <c r="AE93" s="138">
        <f>+IF(AB93="OK",1,0)</f>
        <v>1</v>
      </c>
      <c r="AF93" s="138">
        <f>+IF(AC93="OK",1,0)</f>
        <v>1</v>
      </c>
      <c r="AG93" s="138">
        <f>+IF(AD93="OK",1,0)</f>
        <v>1</v>
      </c>
      <c r="AH93" s="138">
        <f>SUM(AE93:AG93)</f>
        <v>3</v>
      </c>
      <c r="AI93" s="137">
        <f>IF(AH93=3,2*$B$7+U93,0)</f>
        <v>0.68199999999999994</v>
      </c>
      <c r="AJ93" s="139">
        <f>IF(AI93&gt;0,I93*VLOOKUP(T93,'$ alcantarillado'!$I$6:$K$22,3),0)</f>
        <v>2654586.666666667</v>
      </c>
      <c r="AK93" s="139">
        <f t="shared" si="136"/>
        <v>3508971.8400000031</v>
      </c>
      <c r="AL93" s="139">
        <f t="shared" si="137"/>
        <v>1488095.4920000019</v>
      </c>
      <c r="AM93" s="139">
        <f>IF(AJ93&gt;0,AJ93+AK93+AL93,0)</f>
        <v>7651653.998666672</v>
      </c>
      <c r="AN93" s="180">
        <f>IF(AP48&gt;0,IF(AP176&gt;0,AP48+AP176,0),0)</f>
        <v>0</v>
      </c>
      <c r="AO93" s="140" t="str">
        <f>IF((AM93)&gt;0,IF(AN93&gt;0,AM93+AN93,""),"")</f>
        <v/>
      </c>
      <c r="AP93" s="217">
        <f>+MIN(AO93:AO97)</f>
        <v>30949637.427666698</v>
      </c>
      <c r="AQ93" s="142"/>
      <c r="AR93" s="165"/>
    </row>
    <row r="94" spans="1:44" x14ac:dyDescent="0.25">
      <c r="A94" s="230"/>
      <c r="B94" s="230"/>
      <c r="C94" s="230"/>
      <c r="D94" s="230"/>
      <c r="E94" s="141">
        <v>2</v>
      </c>
      <c r="F94" s="190">
        <f>IF(H54&lt;H182,H54,H182)</f>
        <v>47.015000000000001</v>
      </c>
      <c r="G94" s="141">
        <v>5</v>
      </c>
      <c r="H94" s="128">
        <f>+H93</f>
        <v>46.39</v>
      </c>
      <c r="I94" s="142">
        <f>+I93</f>
        <v>80</v>
      </c>
      <c r="J94" s="143">
        <f t="shared" si="183"/>
        <v>7.8125E-3</v>
      </c>
      <c r="K94" s="142">
        <f>+K93</f>
        <v>1264</v>
      </c>
      <c r="L94" s="128">
        <f t="shared" si="184"/>
        <v>15.456099999999999</v>
      </c>
      <c r="M94" s="144">
        <f t="shared" ref="M94:M97" si="198">+L94/1000</f>
        <v>1.5456099999999999E-2</v>
      </c>
      <c r="N94" s="144">
        <f t="shared" si="176"/>
        <v>0.1431761338954268</v>
      </c>
      <c r="O94" s="144">
        <f t="shared" si="177"/>
        <v>5.6368556651742834</v>
      </c>
      <c r="P94" s="145">
        <f t="shared" si="182"/>
        <v>6</v>
      </c>
      <c r="Q94" s="113">
        <f>IF(O94&gt;0,VLOOKUP(P94,'$ alcantarillado'!$I$5:$L$22,4,FALSE),"0")</f>
        <v>0.14499999999999999</v>
      </c>
      <c r="R94" s="113">
        <f t="shared" si="178"/>
        <v>1.5986727597372376E-2</v>
      </c>
      <c r="S94" s="146">
        <f t="shared" si="179"/>
        <v>0.96680824176552593</v>
      </c>
      <c r="T94" s="145">
        <f>+IF(S94&gt;$B$13,VLOOKUP(P94,'$ alcantarillado'!$I$6:$N$22,5),P94)</f>
        <v>8</v>
      </c>
      <c r="U94" s="113">
        <f>IF(O94&gt;0,VLOOKUP(T94,'$ alcantarillado'!$I$5:$L$22,4),"0")</f>
        <v>0.182</v>
      </c>
      <c r="V94" s="113">
        <f t="shared" si="180"/>
        <v>2.9306813703031953E-2</v>
      </c>
      <c r="W94" s="146">
        <f t="shared" si="181"/>
        <v>0.52738930122591177</v>
      </c>
      <c r="X94" s="146">
        <f t="shared" ref="X94:X97" si="199">IF(T94&gt;0,4*V94/(PI()*(U94)^2),"")</f>
        <v>1.1265123214855279</v>
      </c>
      <c r="Y94" s="113">
        <f>IF(T94&gt;0,(VLOOKUP($W94,Relaciones!$A$4:$D$108,2)),"")</f>
        <v>0.86</v>
      </c>
      <c r="Z94" s="146">
        <f t="shared" ref="Z94:Z97" si="200">IF(T94&gt;0,Y94*X94,"")</f>
        <v>0.96880059647755401</v>
      </c>
      <c r="AA94" s="146">
        <f t="shared" ref="AA94:AA97" si="201">IF(T94&gt;0,250*U94*J94,"")</f>
        <v>0.35546875</v>
      </c>
      <c r="AB94" s="147" t="str">
        <f t="shared" ref="AB94:AB97" si="202">IF(T94&gt;0,IF(W94&lt;=$B$13,"OK","No Cumple"),"")</f>
        <v>OK</v>
      </c>
      <c r="AC94" s="147" t="str">
        <f t="shared" ref="AC94:AC97" si="203">IF(T94&gt;0,IF(Z94&gt;=$B$12,"OK","No Cumple"),"")</f>
        <v>OK</v>
      </c>
      <c r="AD94" s="147" t="str">
        <f t="shared" ref="AD94:AD97" si="204">IF(T94&gt;0,IF(AA94&gt;$B$14,"OK","No Cumple"),"")</f>
        <v>OK</v>
      </c>
      <c r="AE94" s="148">
        <f t="shared" ref="AE94:AG97" si="205">+IF(AB94="OK",1,0)</f>
        <v>1</v>
      </c>
      <c r="AF94" s="148">
        <f t="shared" si="205"/>
        <v>1</v>
      </c>
      <c r="AG94" s="148">
        <f t="shared" si="205"/>
        <v>1</v>
      </c>
      <c r="AH94" s="148">
        <f t="shared" ref="AH94:AH97" si="206">SUM(AE94:AG94)</f>
        <v>3</v>
      </c>
      <c r="AI94" s="147">
        <f t="shared" ref="AI94:AI97" si="207">IF(AH94=3,2*$B$7+U94,0)</f>
        <v>0.68199999999999994</v>
      </c>
      <c r="AJ94" s="149">
        <f>IF(AI94&gt;0,I94*VLOOKUP(T94,'$ alcantarillado'!$I$6:$K$22,3),0)</f>
        <v>2654586.666666667</v>
      </c>
      <c r="AK94" s="149">
        <f t="shared" si="136"/>
        <v>3631731.840000004</v>
      </c>
      <c r="AL94" s="149">
        <f t="shared" si="137"/>
        <v>1575343.1170000019</v>
      </c>
      <c r="AM94" s="149">
        <f t="shared" si="195"/>
        <v>7861661.6236666739</v>
      </c>
      <c r="AN94" s="180">
        <f>IF(AP53&gt;0,IF(AP181&gt;0,AP53+AP181,0),0)</f>
        <v>23087975.804000024</v>
      </c>
      <c r="AO94" s="150">
        <f t="shared" si="82"/>
        <v>30949637.427666698</v>
      </c>
      <c r="AP94" s="218"/>
      <c r="AQ94" s="142"/>
      <c r="AR94" s="165"/>
    </row>
    <row r="95" spans="1:44" x14ac:dyDescent="0.25">
      <c r="A95" s="230"/>
      <c r="B95" s="230"/>
      <c r="C95" s="230"/>
      <c r="D95" s="230"/>
      <c r="E95" s="151">
        <v>3</v>
      </c>
      <c r="F95" s="190">
        <f>IF(H60&lt;H187,H60,H187)</f>
        <v>46.89</v>
      </c>
      <c r="G95" s="151">
        <v>5</v>
      </c>
      <c r="H95" s="128">
        <f t="shared" ref="H95:I96" si="208">+H94</f>
        <v>46.39</v>
      </c>
      <c r="I95" s="142">
        <f t="shared" si="208"/>
        <v>80</v>
      </c>
      <c r="J95" s="143">
        <f t="shared" si="183"/>
        <v>6.2500000000000003E-3</v>
      </c>
      <c r="K95" s="142">
        <f t="shared" ref="K95:K96" si="209">+K94</f>
        <v>1264</v>
      </c>
      <c r="L95" s="128">
        <f t="shared" si="184"/>
        <v>15.456099999999999</v>
      </c>
      <c r="M95" s="144">
        <f t="shared" si="198"/>
        <v>1.5456099999999999E-2</v>
      </c>
      <c r="N95" s="144">
        <f t="shared" si="176"/>
        <v>0.14929362341696081</v>
      </c>
      <c r="O95" s="144">
        <f t="shared" si="177"/>
        <v>5.8777017093291661</v>
      </c>
      <c r="P95" s="145">
        <f t="shared" si="182"/>
        <v>6</v>
      </c>
      <c r="Q95" s="113">
        <f>IF(O95&gt;0,VLOOKUP(P95,'$ alcantarillado'!$I$5:$L$22,4,FALSE),"0")</f>
        <v>0.14499999999999999</v>
      </c>
      <c r="R95" s="113">
        <f t="shared" si="178"/>
        <v>1.4298963858198607E-2</v>
      </c>
      <c r="S95" s="146">
        <f t="shared" si="179"/>
        <v>1.0809244748973839</v>
      </c>
      <c r="T95" s="145">
        <f>+IF(S95&gt;$B$13,VLOOKUP(P95,'$ alcantarillado'!$I$6:$N$22,5),P95)</f>
        <v>8</v>
      </c>
      <c r="U95" s="113">
        <f>IF(O95&gt;0,VLOOKUP(T95,'$ alcantarillado'!$I$5:$L$22,4),"0")</f>
        <v>0.182</v>
      </c>
      <c r="V95" s="113">
        <f t="shared" si="180"/>
        <v>2.6212811057560712E-2</v>
      </c>
      <c r="W95" s="146">
        <f t="shared" si="181"/>
        <v>0.58963916407362604</v>
      </c>
      <c r="X95" s="146">
        <f t="shared" si="199"/>
        <v>1.0075832513330949</v>
      </c>
      <c r="Y95" s="113">
        <f>IF(T95&gt;0,(VLOOKUP($W95,Relaciones!$A$4:$D$108,2)),"")</f>
        <v>0.89</v>
      </c>
      <c r="Z95" s="146">
        <f t="shared" si="200"/>
        <v>0.8967490936864545</v>
      </c>
      <c r="AA95" s="146">
        <f t="shared" si="201"/>
        <v>0.28437499999999999</v>
      </c>
      <c r="AB95" s="147" t="str">
        <f t="shared" si="202"/>
        <v>OK</v>
      </c>
      <c r="AC95" s="147" t="str">
        <f t="shared" si="203"/>
        <v>OK</v>
      </c>
      <c r="AD95" s="147" t="str">
        <f t="shared" si="204"/>
        <v>OK</v>
      </c>
      <c r="AE95" s="148">
        <f t="shared" si="205"/>
        <v>1</v>
      </c>
      <c r="AF95" s="148">
        <f t="shared" si="205"/>
        <v>1</v>
      </c>
      <c r="AG95" s="148">
        <f t="shared" si="205"/>
        <v>1</v>
      </c>
      <c r="AH95" s="148">
        <f t="shared" si="206"/>
        <v>3</v>
      </c>
      <c r="AI95" s="147">
        <f t="shared" si="207"/>
        <v>0.68199999999999994</v>
      </c>
      <c r="AJ95" s="149">
        <f>IF(AI95&gt;0,I95*VLOOKUP(T95,'$ alcantarillado'!$I$6:$K$22,3),0)</f>
        <v>2654586.666666667</v>
      </c>
      <c r="AK95" s="149">
        <f t="shared" si="136"/>
        <v>3754491.8400000036</v>
      </c>
      <c r="AL95" s="149">
        <f t="shared" si="137"/>
        <v>1662590.7420000019</v>
      </c>
      <c r="AM95" s="149">
        <f t="shared" si="195"/>
        <v>8071669.248666672</v>
      </c>
      <c r="AN95" s="180">
        <f>IF(AP58&gt;0,IF(AP186&gt;0,AP58+AP186,0),0)</f>
        <v>23207405.804000024</v>
      </c>
      <c r="AO95" s="150">
        <f t="shared" si="82"/>
        <v>31279075.052666694</v>
      </c>
      <c r="AP95" s="219"/>
      <c r="AQ95" s="142">
        <v>2</v>
      </c>
      <c r="AR95" s="165">
        <v>5</v>
      </c>
    </row>
    <row r="96" spans="1:44" x14ac:dyDescent="0.25">
      <c r="A96" s="230"/>
      <c r="B96" s="230"/>
      <c r="C96" s="230"/>
      <c r="D96" s="230"/>
      <c r="E96" s="151">
        <v>4</v>
      </c>
      <c r="F96" s="190">
        <f>IF(H64&lt;H193,H64,H193)</f>
        <v>46.765000000000001</v>
      </c>
      <c r="G96" s="151">
        <v>5</v>
      </c>
      <c r="H96" s="128">
        <f t="shared" si="208"/>
        <v>46.39</v>
      </c>
      <c r="I96" s="142">
        <f t="shared" si="208"/>
        <v>80</v>
      </c>
      <c r="J96" s="143">
        <f>+(F96-H96)/I96</f>
        <v>4.6874999999999998E-3</v>
      </c>
      <c r="K96" s="142">
        <f t="shared" si="209"/>
        <v>1264</v>
      </c>
      <c r="L96" s="128">
        <f t="shared" si="184"/>
        <v>15.456099999999999</v>
      </c>
      <c r="M96" s="144">
        <f t="shared" si="198"/>
        <v>1.5456099999999999E-2</v>
      </c>
      <c r="N96" s="144">
        <f t="shared" si="176"/>
        <v>0.15756772760132909</v>
      </c>
      <c r="O96" s="144">
        <f t="shared" si="177"/>
        <v>6.2034538425720118</v>
      </c>
      <c r="P96" s="145">
        <f t="shared" si="182"/>
        <v>8</v>
      </c>
      <c r="Q96" s="113">
        <f>IF(O96&gt;0,VLOOKUP(P96,'$ alcantarillado'!$I$5:$L$22,4,FALSE),"0")</f>
        <v>0.182</v>
      </c>
      <c r="R96" s="113">
        <f t="shared" si="178"/>
        <v>2.2700960280449212E-2</v>
      </c>
      <c r="S96" s="146">
        <f t="shared" si="179"/>
        <v>0.68085666020530788</v>
      </c>
      <c r="T96" s="145">
        <f>+IF(S96&gt;$B$13,VLOOKUP(P96,'$ alcantarillado'!$I$6:$N$22,5),P96)</f>
        <v>8</v>
      </c>
      <c r="U96" s="113">
        <f>IF(O96&gt;0,VLOOKUP(T96,'$ alcantarillado'!$I$5:$L$22,4),"0")</f>
        <v>0.182</v>
      </c>
      <c r="V96" s="113">
        <f t="shared" si="180"/>
        <v>2.2700960280449212E-2</v>
      </c>
      <c r="W96" s="146">
        <f t="shared" si="181"/>
        <v>0.68085666020530788</v>
      </c>
      <c r="X96" s="146">
        <f t="shared" si="199"/>
        <v>0.87259269208218104</v>
      </c>
      <c r="Y96" s="113">
        <f>IF(T96&gt;0,(VLOOKUP($W96,Relaciones!$A$4:$D$108,2)),"")</f>
        <v>0.93600000000000005</v>
      </c>
      <c r="Z96" s="146">
        <f t="shared" si="200"/>
        <v>0.81674675978892153</v>
      </c>
      <c r="AA96" s="146">
        <f t="shared" si="201"/>
        <v>0.21328125000000001</v>
      </c>
      <c r="AB96" s="147" t="str">
        <f t="shared" si="202"/>
        <v>OK</v>
      </c>
      <c r="AC96" s="147" t="str">
        <f t="shared" si="203"/>
        <v>OK</v>
      </c>
      <c r="AD96" s="147" t="str">
        <f t="shared" si="204"/>
        <v>OK</v>
      </c>
      <c r="AE96" s="148">
        <f t="shared" si="205"/>
        <v>1</v>
      </c>
      <c r="AF96" s="148">
        <f t="shared" si="205"/>
        <v>1</v>
      </c>
      <c r="AG96" s="148">
        <f t="shared" si="205"/>
        <v>1</v>
      </c>
      <c r="AH96" s="148">
        <f t="shared" si="206"/>
        <v>3</v>
      </c>
      <c r="AI96" s="147">
        <f t="shared" si="207"/>
        <v>0.68199999999999994</v>
      </c>
      <c r="AJ96" s="149">
        <f>IF(AI96&gt;0,I96*VLOOKUP(T96,'$ alcantarillado'!$I$6:$K$22,3),0)</f>
        <v>2654586.666666667</v>
      </c>
      <c r="AK96" s="149">
        <f t="shared" si="136"/>
        <v>3877251.8400000031</v>
      </c>
      <c r="AL96" s="149">
        <f t="shared" si="137"/>
        <v>1749838.3670000019</v>
      </c>
      <c r="AM96" s="149">
        <f t="shared" si="195"/>
        <v>8281676.873666672</v>
      </c>
      <c r="AN96" s="180">
        <f>IF(AP63&gt;0,IF(AP191&gt;0,AP63+AP191,0),0)</f>
        <v>23326835.804000027</v>
      </c>
      <c r="AO96" s="150">
        <f t="shared" si="82"/>
        <v>31608512.677666701</v>
      </c>
      <c r="AP96" s="219"/>
      <c r="AQ96" s="142"/>
      <c r="AR96" s="165"/>
    </row>
    <row r="97" spans="1:44" ht="15.75" thickBot="1" x14ac:dyDescent="0.3">
      <c r="A97" s="231"/>
      <c r="B97" s="231"/>
      <c r="C97" s="231"/>
      <c r="D97" s="231"/>
      <c r="E97" s="152">
        <v>5</v>
      </c>
      <c r="F97" s="191">
        <f>IF(H71&lt;H196,H71,H196)</f>
        <v>46.64</v>
      </c>
      <c r="G97" s="152">
        <v>5</v>
      </c>
      <c r="H97" s="153">
        <f>+H96</f>
        <v>46.39</v>
      </c>
      <c r="I97" s="154">
        <f>+I96</f>
        <v>80</v>
      </c>
      <c r="J97" s="155">
        <f t="shared" si="183"/>
        <v>3.1250000000000002E-3</v>
      </c>
      <c r="K97" s="154">
        <f>+K96</f>
        <v>1264</v>
      </c>
      <c r="L97" s="153">
        <f t="shared" si="184"/>
        <v>15.456099999999999</v>
      </c>
      <c r="M97" s="156">
        <f t="shared" si="198"/>
        <v>1.5456099999999999E-2</v>
      </c>
      <c r="N97" s="156">
        <f t="shared" si="176"/>
        <v>0.17001388158888045</v>
      </c>
      <c r="O97" s="156">
        <f t="shared" si="177"/>
        <v>6.6934599050740333</v>
      </c>
      <c r="P97" s="157">
        <f t="shared" si="182"/>
        <v>8</v>
      </c>
      <c r="Q97" s="113">
        <f>IF(O97&gt;0,VLOOKUP(P97,'$ alcantarillado'!$I$5:$L$22,4,FALSE),"0")</f>
        <v>0.182</v>
      </c>
      <c r="R97" s="160">
        <f t="shared" si="178"/>
        <v>1.8535256452762897E-2</v>
      </c>
      <c r="S97" s="146">
        <f t="shared" si="179"/>
        <v>0.83387570273925649</v>
      </c>
      <c r="T97" s="145">
        <f>+IF(S97&gt;$B$13,VLOOKUP(P97,'$ alcantarillado'!$I$6:$N$22,5),P97)</f>
        <v>8</v>
      </c>
      <c r="U97" s="113">
        <f>IF(O97&gt;0,VLOOKUP(T97,'$ alcantarillado'!$I$5:$L$22,4),"0")</f>
        <v>0.182</v>
      </c>
      <c r="V97" s="113">
        <f t="shared" si="180"/>
        <v>1.8535256452762897E-2</v>
      </c>
      <c r="W97" s="146">
        <f t="shared" si="181"/>
        <v>0.83387570273925649</v>
      </c>
      <c r="X97" s="146">
        <f t="shared" si="199"/>
        <v>0.71246894962762097</v>
      </c>
      <c r="Y97" s="113">
        <f>IF(T97&gt;0,(VLOOKUP($W97,Relaciones!$A$4:$D$108,2)),"")</f>
        <v>0.99299999999999999</v>
      </c>
      <c r="Z97" s="146">
        <f t="shared" si="200"/>
        <v>0.70748166698022763</v>
      </c>
      <c r="AA97" s="146">
        <f t="shared" si="201"/>
        <v>0.14218749999999999</v>
      </c>
      <c r="AB97" s="147" t="str">
        <f t="shared" si="202"/>
        <v>OK</v>
      </c>
      <c r="AC97" s="147" t="str">
        <f t="shared" si="203"/>
        <v>OK</v>
      </c>
      <c r="AD97" s="147" t="str">
        <f t="shared" si="204"/>
        <v>No Cumple</v>
      </c>
      <c r="AE97" s="148">
        <f t="shared" si="205"/>
        <v>1</v>
      </c>
      <c r="AF97" s="148">
        <f t="shared" si="205"/>
        <v>1</v>
      </c>
      <c r="AG97" s="148">
        <f t="shared" si="205"/>
        <v>0</v>
      </c>
      <c r="AH97" s="148">
        <f t="shared" si="206"/>
        <v>2</v>
      </c>
      <c r="AI97" s="147">
        <f t="shared" si="207"/>
        <v>0</v>
      </c>
      <c r="AJ97" s="158">
        <f>IF(AI97&gt;0,I97*VLOOKUP(T97,'$ alcantarillado'!$I$6:$K$22,3),0)</f>
        <v>0</v>
      </c>
      <c r="AK97" s="149">
        <f t="shared" si="136"/>
        <v>0</v>
      </c>
      <c r="AL97" s="149">
        <f t="shared" si="137"/>
        <v>0</v>
      </c>
      <c r="AM97" s="158">
        <f t="shared" si="195"/>
        <v>0</v>
      </c>
      <c r="AN97" s="180">
        <f>IF(AP68&gt;0,IF(AP196&gt;0,AP68+AP196,0),0)</f>
        <v>22456089.33366669</v>
      </c>
      <c r="AO97" s="159" t="str">
        <f t="shared" si="82"/>
        <v/>
      </c>
      <c r="AP97" s="220"/>
      <c r="AQ97" s="142"/>
      <c r="AR97" s="165"/>
    </row>
    <row r="98" spans="1:44" x14ac:dyDescent="0.25">
      <c r="A98" s="210">
        <v>4</v>
      </c>
      <c r="B98" s="210">
        <f>+C73</f>
        <v>6</v>
      </c>
      <c r="C98" s="210">
        <v>7</v>
      </c>
      <c r="D98" s="210">
        <v>49.09</v>
      </c>
      <c r="E98" s="4">
        <v>1</v>
      </c>
      <c r="F98" s="27">
        <f>+H73</f>
        <v>46.89</v>
      </c>
      <c r="G98" s="4">
        <v>1</v>
      </c>
      <c r="H98" s="64">
        <f>+H108+2*$B$15</f>
        <v>46.015000000000001</v>
      </c>
      <c r="I98" s="7">
        <f t="shared" ref="I98" si="210">+I87</f>
        <v>80</v>
      </c>
      <c r="J98" s="17">
        <f>+(F98-H98)/I98</f>
        <v>1.0937499999999999E-2</v>
      </c>
      <c r="K98" s="7">
        <f>+K87+H5</f>
        <v>1281</v>
      </c>
      <c r="L98" s="14">
        <f>IF(K98&lt;38,K98^0.3686*0.7401,IF(K98&lt;235,K98^0.4193*0.6215,IF(K98&lt;932,K98*0.0092+4.2493,K98*0.0069+6.7345)))</f>
        <v>15.573399999999999</v>
      </c>
      <c r="M98" s="31">
        <f>+L98/1000</f>
        <v>1.5573399999999999E-2</v>
      </c>
      <c r="N98" s="31">
        <f t="shared" si="176"/>
        <v>0.13480405130829018</v>
      </c>
      <c r="O98" s="31">
        <f t="shared" si="177"/>
        <v>5.3072461144996135</v>
      </c>
      <c r="P98" s="57">
        <f t="shared" si="182"/>
        <v>6</v>
      </c>
      <c r="Q98" s="60">
        <f>IF(O98&gt;0,VLOOKUP(P98,'$ alcantarillado'!$I$5:$L$22,4,FALSE),"0")</f>
        <v>0.14499999999999999</v>
      </c>
      <c r="R98" s="60">
        <f t="shared" si="178"/>
        <v>1.8915751187347084E-2</v>
      </c>
      <c r="S98" s="27">
        <f t="shared" si="179"/>
        <v>0.823303280200534</v>
      </c>
      <c r="T98" s="57">
        <f>+IF(S98&gt;$B$13,VLOOKUP(P98,'$ alcantarillado'!$I$6:$N$22,5),P98)</f>
        <v>6</v>
      </c>
      <c r="U98" s="60">
        <f>IF(O98&gt;0,VLOOKUP(T98,'$ alcantarillado'!$I$5:$L$22,4),"0")</f>
        <v>0.14499999999999999</v>
      </c>
      <c r="V98" s="60">
        <f t="shared" si="180"/>
        <v>1.8915751187347084E-2</v>
      </c>
      <c r="W98" s="27">
        <f t="shared" si="181"/>
        <v>0.823303280200534</v>
      </c>
      <c r="X98" s="27">
        <f>IF(T98&gt;0,4*V98/(PI()*(U98)^2),"")</f>
        <v>1.1455068932271779</v>
      </c>
      <c r="Y98" s="60">
        <f>IF(T98&gt;0,(VLOOKUP($W98,Relaciones!$A$4:$D$108,2)),"")</f>
        <v>0.99</v>
      </c>
      <c r="Z98" s="27">
        <f>IF(T98&gt;0,Y98*X98,"")</f>
        <v>1.134051824294906</v>
      </c>
      <c r="AA98" s="27">
        <f>IF(T98&gt;0,250*U98*J98,"")</f>
        <v>0.396484375</v>
      </c>
      <c r="AB98" s="45" t="str">
        <f>IF(T98&gt;0,IF(W98&lt;=$B$13,"OK","No Cumple"),"")</f>
        <v>OK</v>
      </c>
      <c r="AC98" s="45" t="str">
        <f>IF(T98&gt;0,IF(Z98&gt;=$B$12,"OK","No Cumple"),"")</f>
        <v>OK</v>
      </c>
      <c r="AD98" s="45" t="str">
        <f>IF(T98&gt;0,IF(AA98&gt;$B$14,"OK","No Cumple"),"")</f>
        <v>OK</v>
      </c>
      <c r="AE98" s="32">
        <f>+IF(AB98="OK",1,0)</f>
        <v>1</v>
      </c>
      <c r="AF98" s="32">
        <f>+IF(AC98="OK",1,0)</f>
        <v>1</v>
      </c>
      <c r="AG98" s="32">
        <f>+IF(AD98="OK",1,0)</f>
        <v>1</v>
      </c>
      <c r="AH98" s="32">
        <f>SUM(AE98:AG98)</f>
        <v>3</v>
      </c>
      <c r="AI98" s="45">
        <f>IF(AH98=3,2*$B$7+U98,0)</f>
        <v>0.64500000000000002</v>
      </c>
      <c r="AJ98" s="21">
        <f>IF(AI98&gt;0,I98*VLOOKUP(T98,'$ alcantarillado'!$I$6:$K$22,3),0)</f>
        <v>1912173.3333333335</v>
      </c>
      <c r="AK98" s="61">
        <f t="shared" ref="AK98:AK122" si="211">IF(N98&gt;0,((($D$98-F98)+(U98))+(($D$123-H98)+(U98))/2)*AI98*I98*$C$9,0)</f>
        <v>3673404.0000000042</v>
      </c>
      <c r="AL98" s="61">
        <f t="shared" ref="AL98:AL122" si="212">IF(AI98&gt;0,(($D$98-F98)+U98)*$C$10,0)</f>
        <v>1636765.4450000019</v>
      </c>
      <c r="AM98" s="21">
        <f>IF(AJ98&gt;0,AJ98+AK98+AL98,0)</f>
        <v>7222342.7783333398</v>
      </c>
      <c r="AN98" s="49">
        <f>IF(AP73&gt;0,+AP73,0)</f>
        <v>0</v>
      </c>
      <c r="AO98" s="77" t="str">
        <f>IF((AM98)&gt;0,IF(AN98&gt;0,AM98+AN98,""),"")</f>
        <v/>
      </c>
      <c r="AP98" s="213">
        <f t="shared" ref="AP98" si="213">+MIN(AO98:AO102)</f>
        <v>39502701.926333368</v>
      </c>
      <c r="AQ98" s="7"/>
      <c r="AR98" s="8"/>
    </row>
    <row r="99" spans="1:44" x14ac:dyDescent="0.25">
      <c r="A99" s="211"/>
      <c r="B99" s="211"/>
      <c r="C99" s="211"/>
      <c r="D99" s="211"/>
      <c r="E99" s="5">
        <v>2</v>
      </c>
      <c r="F99" s="35">
        <f>+H78</f>
        <v>46.765000000000001</v>
      </c>
      <c r="G99" s="5">
        <v>1</v>
      </c>
      <c r="H99" s="35">
        <f>+H98</f>
        <v>46.015000000000001</v>
      </c>
      <c r="I99" s="2">
        <f>+I98</f>
        <v>80</v>
      </c>
      <c r="J99" s="18">
        <f t="shared" ref="J99:J122" si="214">+(F99-H99)/I99</f>
        <v>9.3749999999999997E-3</v>
      </c>
      <c r="K99" s="2">
        <f>+K98</f>
        <v>1281</v>
      </c>
      <c r="L99" s="15">
        <f t="shared" ref="L99:L122" si="215">IF(K99&lt;38,K99^0.3686*0.7401,IF(K99&lt;235,K99^0.4193*0.6215,IF(K99&lt;932,K99*0.0092+4.2493,K99*0.0069+6.7345)))</f>
        <v>15.573399999999999</v>
      </c>
      <c r="M99" s="33">
        <f t="shared" ref="M99:M102" si="216">+L99/1000</f>
        <v>1.5573399999999999E-2</v>
      </c>
      <c r="N99" s="33">
        <f t="shared" si="176"/>
        <v>0.13875718078738841</v>
      </c>
      <c r="O99" s="33">
        <f t="shared" si="177"/>
        <v>5.4628811333617486</v>
      </c>
      <c r="P99" s="58">
        <f t="shared" si="182"/>
        <v>6</v>
      </c>
      <c r="Q99" s="55">
        <f>IF(O99&gt;0,VLOOKUP(P99,'$ alcantarillado'!$I$5:$L$22,4,FALSE),"0")</f>
        <v>0.14499999999999999</v>
      </c>
      <c r="R99" s="55">
        <f t="shared" si="178"/>
        <v>1.7512582651542437E-2</v>
      </c>
      <c r="S99" s="35">
        <f t="shared" si="179"/>
        <v>0.88926917918804838</v>
      </c>
      <c r="T99" s="58">
        <f>+IF(S99&gt;$B$13,VLOOKUP(P99,'$ alcantarillado'!$I$6:$N$22,5),P99)</f>
        <v>8</v>
      </c>
      <c r="U99" s="55">
        <f>IF(O99&gt;0,VLOOKUP(T99,'$ alcantarillado'!$I$5:$L$22,4),"0")</f>
        <v>0.182</v>
      </c>
      <c r="V99" s="55">
        <f t="shared" si="180"/>
        <v>3.2104005907504223E-2</v>
      </c>
      <c r="W99" s="35">
        <f t="shared" si="181"/>
        <v>0.48509211108635386</v>
      </c>
      <c r="X99" s="35">
        <f t="shared" ref="X99:X102" si="217">IF(T99&gt;0,4*V99/(PI()*(U99)^2),"")</f>
        <v>1.2340324195702708</v>
      </c>
      <c r="Y99" s="55">
        <f>IF(T99&gt;0,(VLOOKUP($W99,Relaciones!$A$4:$D$108,2)),"")</f>
        <v>0.84</v>
      </c>
      <c r="Z99" s="35">
        <f t="shared" ref="Z99:Z102" si="218">IF(T99&gt;0,Y99*X99,"")</f>
        <v>1.0365872324390275</v>
      </c>
      <c r="AA99" s="35">
        <f t="shared" ref="AA99:AA102" si="219">IF(T99&gt;0,250*U99*J99,"")</f>
        <v>0.42656250000000001</v>
      </c>
      <c r="AB99" s="46" t="str">
        <f t="shared" ref="AB99:AB102" si="220">IF(T99&gt;0,IF(W99&lt;=$B$13,"OK","No Cumple"),"")</f>
        <v>OK</v>
      </c>
      <c r="AC99" s="46" t="str">
        <f t="shared" ref="AC99:AC102" si="221">IF(T99&gt;0,IF(Z99&gt;=$B$12,"OK","No Cumple"),"")</f>
        <v>OK</v>
      </c>
      <c r="AD99" s="46" t="str">
        <f t="shared" ref="AD99:AD102" si="222">IF(T99&gt;0,IF(AA99&gt;$B$14,"OK","No Cumple"),"")</f>
        <v>OK</v>
      </c>
      <c r="AE99" s="48">
        <f t="shared" ref="AE99:AG102" si="223">+IF(AB99="OK",1,0)</f>
        <v>1</v>
      </c>
      <c r="AF99" s="48">
        <f t="shared" si="223"/>
        <v>1</v>
      </c>
      <c r="AG99" s="48">
        <f t="shared" si="223"/>
        <v>1</v>
      </c>
      <c r="AH99" s="48">
        <f t="shared" ref="AH99:AH102" si="224">SUM(AE99:AG99)</f>
        <v>3</v>
      </c>
      <c r="AI99" s="46">
        <f t="shared" ref="AI99:AI102" si="225">IF(AH99=3,2*$B$7+U99,0)</f>
        <v>0.68199999999999994</v>
      </c>
      <c r="AJ99" s="20">
        <f>IF(AI99&gt;0,I99*VLOOKUP(T99,'$ alcantarillado'!$I$6:$K$22,3),0)</f>
        <v>2654586.666666667</v>
      </c>
      <c r="AK99" s="20">
        <f t="shared" si="211"/>
        <v>4061391.840000004</v>
      </c>
      <c r="AL99" s="20">
        <f t="shared" si="212"/>
        <v>1749838.3670000019</v>
      </c>
      <c r="AM99" s="20">
        <f t="shared" ref="AM99:AM122" si="226">IF(AJ99&gt;0,AJ99+AK99+AL99,0)</f>
        <v>8465816.8736666739</v>
      </c>
      <c r="AN99" s="50">
        <f>+AP78</f>
        <v>0</v>
      </c>
      <c r="AO99" s="78" t="str">
        <f t="shared" si="82"/>
        <v/>
      </c>
      <c r="AP99" s="214"/>
      <c r="AQ99" s="2">
        <v>2</v>
      </c>
      <c r="AR99" s="9">
        <v>1</v>
      </c>
    </row>
    <row r="100" spans="1:44" x14ac:dyDescent="0.25">
      <c r="A100" s="211"/>
      <c r="B100" s="211"/>
      <c r="C100" s="211"/>
      <c r="D100" s="211"/>
      <c r="E100" s="56">
        <v>3</v>
      </c>
      <c r="F100" s="35">
        <f>+H83</f>
        <v>46.64</v>
      </c>
      <c r="G100" s="56">
        <v>1</v>
      </c>
      <c r="H100" s="2">
        <f t="shared" ref="H100:I101" si="227">+H99</f>
        <v>46.015000000000001</v>
      </c>
      <c r="I100" s="2">
        <f t="shared" si="227"/>
        <v>80</v>
      </c>
      <c r="J100" s="18">
        <f t="shared" si="214"/>
        <v>7.8125E-3</v>
      </c>
      <c r="K100" s="2">
        <f t="shared" ref="K100:K101" si="228">+K99</f>
        <v>1281</v>
      </c>
      <c r="L100" s="15">
        <f t="shared" si="215"/>
        <v>15.573399999999999</v>
      </c>
      <c r="M100" s="33">
        <f t="shared" si="216"/>
        <v>1.5573399999999999E-2</v>
      </c>
      <c r="N100" s="33">
        <f t="shared" si="176"/>
        <v>0.14358264555199565</v>
      </c>
      <c r="O100" s="33">
        <f t="shared" si="177"/>
        <v>5.6528600611021913</v>
      </c>
      <c r="P100" s="58">
        <f t="shared" si="182"/>
        <v>6</v>
      </c>
      <c r="Q100" s="55">
        <f>IF(O100&gt;0,VLOOKUP(P100,'$ alcantarillado'!$I$5:$L$22,4,FALSE),"0")</f>
        <v>0.14499999999999999</v>
      </c>
      <c r="R100" s="55">
        <f t="shared" si="178"/>
        <v>1.5986727597372376E-2</v>
      </c>
      <c r="S100" s="35">
        <f t="shared" si="179"/>
        <v>0.97414557827079551</v>
      </c>
      <c r="T100" s="58">
        <f>+IF(S100&gt;$B$13,VLOOKUP(P100,'$ alcantarillado'!$I$6:$N$22,5),P100)</f>
        <v>8</v>
      </c>
      <c r="U100" s="55">
        <f>IF(O100&gt;0,VLOOKUP(T100,'$ alcantarillado'!$I$5:$L$22,4),"0")</f>
        <v>0.182</v>
      </c>
      <c r="V100" s="55">
        <f t="shared" si="180"/>
        <v>2.9306813703031953E-2</v>
      </c>
      <c r="W100" s="35">
        <f t="shared" si="181"/>
        <v>0.53139178341959581</v>
      </c>
      <c r="X100" s="35">
        <f t="shared" si="217"/>
        <v>1.1265123214855279</v>
      </c>
      <c r="Y100" s="55">
        <f>IF(T100&gt;0,(VLOOKUP($W100,Relaciones!$A$4:$D$108,2)),"")</f>
        <v>0.86499999999999999</v>
      </c>
      <c r="Z100" s="35">
        <f t="shared" si="218"/>
        <v>0.97443315808498165</v>
      </c>
      <c r="AA100" s="35">
        <f t="shared" si="219"/>
        <v>0.35546875</v>
      </c>
      <c r="AB100" s="46" t="str">
        <f t="shared" si="220"/>
        <v>OK</v>
      </c>
      <c r="AC100" s="46" t="str">
        <f t="shared" si="221"/>
        <v>OK</v>
      </c>
      <c r="AD100" s="46" t="str">
        <f t="shared" si="222"/>
        <v>OK</v>
      </c>
      <c r="AE100" s="48">
        <f t="shared" si="223"/>
        <v>1</v>
      </c>
      <c r="AF100" s="48">
        <f t="shared" si="223"/>
        <v>1</v>
      </c>
      <c r="AG100" s="48">
        <f t="shared" si="223"/>
        <v>1</v>
      </c>
      <c r="AH100" s="48">
        <f t="shared" si="224"/>
        <v>3</v>
      </c>
      <c r="AI100" s="46">
        <f t="shared" si="225"/>
        <v>0.68199999999999994</v>
      </c>
      <c r="AJ100" s="20">
        <f>IF(AI100&gt;0,I100*VLOOKUP(T100,'$ alcantarillado'!$I$6:$K$22,3),0)</f>
        <v>2654586.666666667</v>
      </c>
      <c r="AK100" s="20">
        <f t="shared" si="211"/>
        <v>4184151.8400000036</v>
      </c>
      <c r="AL100" s="20">
        <f t="shared" si="212"/>
        <v>1837085.9920000019</v>
      </c>
      <c r="AM100" s="20">
        <f t="shared" si="226"/>
        <v>8675824.498666672</v>
      </c>
      <c r="AN100" s="50">
        <f>+AP83</f>
        <v>30826877.427666694</v>
      </c>
      <c r="AO100" s="78">
        <f t="shared" si="82"/>
        <v>39502701.926333368</v>
      </c>
      <c r="AP100" s="215"/>
      <c r="AQ100" s="2"/>
      <c r="AR100" s="9"/>
    </row>
    <row r="101" spans="1:44" x14ac:dyDescent="0.25">
      <c r="A101" s="211"/>
      <c r="B101" s="211"/>
      <c r="C101" s="211"/>
      <c r="D101" s="211"/>
      <c r="E101" s="56">
        <v>4</v>
      </c>
      <c r="F101" s="35">
        <f>+H88</f>
        <v>46.515000000000001</v>
      </c>
      <c r="G101" s="56">
        <v>1</v>
      </c>
      <c r="H101" s="2">
        <f t="shared" si="227"/>
        <v>46.015000000000001</v>
      </c>
      <c r="I101" s="2">
        <f t="shared" si="227"/>
        <v>80</v>
      </c>
      <c r="J101" s="18">
        <f>+(F101-H101)/I101</f>
        <v>6.2500000000000003E-3</v>
      </c>
      <c r="K101" s="2">
        <f t="shared" si="228"/>
        <v>1281</v>
      </c>
      <c r="L101" s="15">
        <f t="shared" si="215"/>
        <v>15.573399999999999</v>
      </c>
      <c r="M101" s="33">
        <f t="shared" si="216"/>
        <v>1.5573399999999999E-2</v>
      </c>
      <c r="N101" s="33">
        <f t="shared" si="176"/>
        <v>0.14971750410516779</v>
      </c>
      <c r="O101" s="33">
        <f t="shared" si="177"/>
        <v>5.8943899254003069</v>
      </c>
      <c r="P101" s="58">
        <f t="shared" si="182"/>
        <v>6</v>
      </c>
      <c r="Q101" s="55">
        <f>IF(O101&gt;0,VLOOKUP(P101,'$ alcantarillado'!$I$5:$L$22,4,FALSE),"0")</f>
        <v>0.14499999999999999</v>
      </c>
      <c r="R101" s="55">
        <f t="shared" si="178"/>
        <v>1.4298963858198607E-2</v>
      </c>
      <c r="S101" s="35">
        <f t="shared" si="179"/>
        <v>1.0891278664971706</v>
      </c>
      <c r="T101" s="58">
        <f>+IF(S101&gt;$B$13,VLOOKUP(P101,'$ alcantarillado'!$I$6:$N$22,5),P101)</f>
        <v>8</v>
      </c>
      <c r="U101" s="55">
        <f>IF(O101&gt;0,VLOOKUP(T101,'$ alcantarillado'!$I$5:$L$22,4),"0")</f>
        <v>0.182</v>
      </c>
      <c r="V101" s="55">
        <f t="shared" si="180"/>
        <v>2.6212811057560712E-2</v>
      </c>
      <c r="W101" s="35">
        <f t="shared" si="181"/>
        <v>0.59411407520553094</v>
      </c>
      <c r="X101" s="35">
        <f t="shared" si="217"/>
        <v>1.0075832513330949</v>
      </c>
      <c r="Y101" s="55">
        <f>IF(T101&gt;0,(VLOOKUP($W101,Relaciones!$A$4:$D$108,2)),"")</f>
        <v>0.89500000000000002</v>
      </c>
      <c r="Z101" s="35">
        <f t="shared" si="218"/>
        <v>0.90178700994312</v>
      </c>
      <c r="AA101" s="35">
        <f t="shared" si="219"/>
        <v>0.28437499999999999</v>
      </c>
      <c r="AB101" s="46" t="str">
        <f t="shared" si="220"/>
        <v>OK</v>
      </c>
      <c r="AC101" s="46" t="str">
        <f t="shared" si="221"/>
        <v>OK</v>
      </c>
      <c r="AD101" s="46" t="str">
        <f t="shared" si="222"/>
        <v>OK</v>
      </c>
      <c r="AE101" s="48">
        <f t="shared" si="223"/>
        <v>1</v>
      </c>
      <c r="AF101" s="48">
        <f t="shared" si="223"/>
        <v>1</v>
      </c>
      <c r="AG101" s="48">
        <f t="shared" si="223"/>
        <v>1</v>
      </c>
      <c r="AH101" s="48">
        <f t="shared" si="224"/>
        <v>3</v>
      </c>
      <c r="AI101" s="46">
        <f t="shared" si="225"/>
        <v>0.68199999999999994</v>
      </c>
      <c r="AJ101" s="20">
        <f>IF(AI101&gt;0,I101*VLOOKUP(T101,'$ alcantarillado'!$I$6:$K$22,3),0)</f>
        <v>2654586.666666667</v>
      </c>
      <c r="AK101" s="20">
        <f t="shared" si="211"/>
        <v>4306911.8400000036</v>
      </c>
      <c r="AL101" s="20">
        <f t="shared" si="212"/>
        <v>1924333.6170000019</v>
      </c>
      <c r="AM101" s="20">
        <f t="shared" si="226"/>
        <v>8885832.123666672</v>
      </c>
      <c r="AN101" s="50">
        <f>+AP88</f>
        <v>30888257.427666694</v>
      </c>
      <c r="AO101" s="78">
        <f t="shared" si="82"/>
        <v>39774089.551333368</v>
      </c>
      <c r="AP101" s="215"/>
      <c r="AQ101" s="2"/>
      <c r="AR101" s="9"/>
    </row>
    <row r="102" spans="1:44" ht="15.75" thickBot="1" x14ac:dyDescent="0.3">
      <c r="A102" s="211"/>
      <c r="B102" s="211"/>
      <c r="C102" s="211"/>
      <c r="D102" s="211"/>
      <c r="E102" s="6">
        <v>5</v>
      </c>
      <c r="F102" s="65">
        <f>+H93</f>
        <v>46.39</v>
      </c>
      <c r="G102" s="6">
        <v>1</v>
      </c>
      <c r="H102" s="10">
        <f>+H101</f>
        <v>46.015000000000001</v>
      </c>
      <c r="I102" s="10">
        <f>+I101</f>
        <v>80</v>
      </c>
      <c r="J102" s="19">
        <f t="shared" si="214"/>
        <v>4.6874999999999998E-3</v>
      </c>
      <c r="K102" s="10">
        <f>+K101</f>
        <v>1281</v>
      </c>
      <c r="L102" s="16">
        <f t="shared" si="215"/>
        <v>15.573399999999999</v>
      </c>
      <c r="M102" s="34">
        <f t="shared" si="216"/>
        <v>1.5573399999999999E-2</v>
      </c>
      <c r="N102" s="34">
        <f t="shared" si="176"/>
        <v>0.15801510047155756</v>
      </c>
      <c r="O102" s="34">
        <f t="shared" si="177"/>
        <v>6.2210669476991169</v>
      </c>
      <c r="P102" s="59">
        <f t="shared" si="182"/>
        <v>8</v>
      </c>
      <c r="Q102" s="55">
        <f>IF(O102&gt;0,VLOOKUP(P102,'$ alcantarillado'!$I$5:$L$22,4,FALSE),"0")</f>
        <v>0.182</v>
      </c>
      <c r="R102" s="55">
        <f t="shared" si="178"/>
        <v>2.2700960280449212E-2</v>
      </c>
      <c r="S102" s="35">
        <f t="shared" si="179"/>
        <v>0.68602384249851789</v>
      </c>
      <c r="T102" s="58">
        <f>+IF(S102&gt;$B$13,VLOOKUP(P102,'$ alcantarillado'!$I$6:$N$22,5),P102)</f>
        <v>8</v>
      </c>
      <c r="U102" s="55">
        <f>IF(O102&gt;0,VLOOKUP(T102,'$ alcantarillado'!$I$5:$L$22,4),"0")</f>
        <v>0.182</v>
      </c>
      <c r="V102" s="55">
        <f t="shared" si="180"/>
        <v>2.2700960280449212E-2</v>
      </c>
      <c r="W102" s="35">
        <f t="shared" si="181"/>
        <v>0.68602384249851789</v>
      </c>
      <c r="X102" s="35">
        <f t="shared" si="217"/>
        <v>0.87259269208218104</v>
      </c>
      <c r="Y102" s="55">
        <f>IF(T102&gt;0,(VLOOKUP($W102,Relaciones!$A$4:$D$108,2)),"")</f>
        <v>0.93600000000000005</v>
      </c>
      <c r="Z102" s="35">
        <f t="shared" si="218"/>
        <v>0.81674675978892153</v>
      </c>
      <c r="AA102" s="35">
        <f t="shared" si="219"/>
        <v>0.21328125000000001</v>
      </c>
      <c r="AB102" s="46" t="str">
        <f t="shared" si="220"/>
        <v>OK</v>
      </c>
      <c r="AC102" s="46" t="str">
        <f t="shared" si="221"/>
        <v>OK</v>
      </c>
      <c r="AD102" s="46" t="str">
        <f t="shared" si="222"/>
        <v>OK</v>
      </c>
      <c r="AE102" s="48">
        <f t="shared" si="223"/>
        <v>1</v>
      </c>
      <c r="AF102" s="48">
        <f t="shared" si="223"/>
        <v>1</v>
      </c>
      <c r="AG102" s="48">
        <f t="shared" si="223"/>
        <v>1</v>
      </c>
      <c r="AH102" s="48">
        <f t="shared" si="224"/>
        <v>3</v>
      </c>
      <c r="AI102" s="46">
        <f t="shared" si="225"/>
        <v>0.68199999999999994</v>
      </c>
      <c r="AJ102" s="22">
        <f>IF(AI102&gt;0,I102*VLOOKUP(T102,'$ alcantarillado'!$I$6:$K$22,3),0)</f>
        <v>2654586.666666667</v>
      </c>
      <c r="AK102" s="20">
        <f t="shared" si="211"/>
        <v>4429671.8400000036</v>
      </c>
      <c r="AL102" s="20">
        <f t="shared" si="212"/>
        <v>2011581.2420000019</v>
      </c>
      <c r="AM102" s="22">
        <f t="shared" si="226"/>
        <v>9095839.748666672</v>
      </c>
      <c r="AN102" s="50">
        <f>+AP93</f>
        <v>30949637.427666698</v>
      </c>
      <c r="AO102" s="79">
        <f t="shared" si="82"/>
        <v>40045477.176333368</v>
      </c>
      <c r="AP102" s="216"/>
      <c r="AQ102" s="10"/>
      <c r="AR102" s="11"/>
    </row>
    <row r="103" spans="1:44" x14ac:dyDescent="0.25">
      <c r="A103" s="211"/>
      <c r="B103" s="211"/>
      <c r="C103" s="211"/>
      <c r="D103" s="211"/>
      <c r="E103" s="4">
        <v>1</v>
      </c>
      <c r="F103" s="27">
        <f>+H73</f>
        <v>46.89</v>
      </c>
      <c r="G103" s="4">
        <v>2</v>
      </c>
      <c r="H103" s="35">
        <f>+H108+$B$15</f>
        <v>45.89</v>
      </c>
      <c r="I103" s="2">
        <f>+I102</f>
        <v>80</v>
      </c>
      <c r="J103" s="18">
        <f>+(F103-H103)/I103</f>
        <v>1.2500000000000001E-2</v>
      </c>
      <c r="K103" s="2">
        <f>+K102</f>
        <v>1281</v>
      </c>
      <c r="L103" s="14">
        <f>IF(K103&lt;38,K103^0.3686*0.7401,IF(K103&lt;235,K103^0.4193*0.6215,IF(K103&lt;932,K103*0.0092+4.2493,K103*0.0069+6.7345)))</f>
        <v>15.573399999999999</v>
      </c>
      <c r="M103" s="31">
        <f>+L103/1000</f>
        <v>1.5573399999999999E-2</v>
      </c>
      <c r="N103" s="31">
        <f t="shared" si="176"/>
        <v>0.13147084501519965</v>
      </c>
      <c r="O103" s="31">
        <f t="shared" si="177"/>
        <v>5.1760175202834509</v>
      </c>
      <c r="P103" s="57">
        <f t="shared" si="182"/>
        <v>6</v>
      </c>
      <c r="Q103" s="60">
        <f>IF(O103&gt;0,VLOOKUP(P103,'$ alcantarillado'!$I$5:$L$22,4,FALSE),"0")</f>
        <v>0.14499999999999999</v>
      </c>
      <c r="R103" s="60">
        <f t="shared" si="178"/>
        <v>2.0221788616147186E-2</v>
      </c>
      <c r="S103" s="27">
        <f t="shared" si="179"/>
        <v>0.77012969997938618</v>
      </c>
      <c r="T103" s="57">
        <f>+IF(S103&gt;$B$13,VLOOKUP(P103,'$ alcantarillado'!$I$6:$N$22,5),P103)</f>
        <v>6</v>
      </c>
      <c r="U103" s="60">
        <f>IF(O103&gt;0,VLOOKUP(T103,'$ alcantarillado'!$I$5:$L$22,4),"0")</f>
        <v>0.14499999999999999</v>
      </c>
      <c r="V103" s="60">
        <f t="shared" si="180"/>
        <v>2.0221788616147186E-2</v>
      </c>
      <c r="W103" s="27">
        <f t="shared" si="181"/>
        <v>0.77012969997938618</v>
      </c>
      <c r="X103" s="27">
        <f>IF(T103&gt;0,4*V103/(PI()*(U103)^2),"")</f>
        <v>1.2245983796125537</v>
      </c>
      <c r="Y103" s="60">
        <f>IF(T103&gt;0,(VLOOKUP($W103,Relaciones!$A$4:$D$108,2)),"")</f>
        <v>0.97199999999999998</v>
      </c>
      <c r="Z103" s="27">
        <f>IF(T103&gt;0,Y103*X103,"")</f>
        <v>1.1903096249834022</v>
      </c>
      <c r="AA103" s="27">
        <f>IF(T103&gt;0,250*U103*J103,"")</f>
        <v>0.453125</v>
      </c>
      <c r="AB103" s="45" t="str">
        <f>IF(T103&gt;0,IF(W103&lt;=$B$13,"OK","No Cumple"),"")</f>
        <v>OK</v>
      </c>
      <c r="AC103" s="45" t="str">
        <f>IF(T103&gt;0,IF(Z103&gt;=$B$12,"OK","No Cumple"),"")</f>
        <v>OK</v>
      </c>
      <c r="AD103" s="45" t="str">
        <f>IF(T103&gt;0,IF(AA103&gt;$B$14,"OK","No Cumple"),"")</f>
        <v>OK</v>
      </c>
      <c r="AE103" s="32">
        <f>+IF(AB103="OK",1,0)</f>
        <v>1</v>
      </c>
      <c r="AF103" s="32">
        <f>+IF(AC103="OK",1,0)</f>
        <v>1</v>
      </c>
      <c r="AG103" s="32">
        <f>+IF(AD103="OK",1,0)</f>
        <v>1</v>
      </c>
      <c r="AH103" s="32">
        <f>SUM(AE103:AG103)</f>
        <v>3</v>
      </c>
      <c r="AI103" s="45">
        <f>IF(AH103=3,2*$B$7+U103,0)</f>
        <v>0.64500000000000002</v>
      </c>
      <c r="AJ103" s="21">
        <f>IF(AI103&gt;0,I103*VLOOKUP(T103,'$ alcantarillado'!$I$6:$K$22,3),0)</f>
        <v>1912173.3333333335</v>
      </c>
      <c r="AK103" s="61">
        <f t="shared" si="211"/>
        <v>3731454.0000000047</v>
      </c>
      <c r="AL103" s="61">
        <f t="shared" si="212"/>
        <v>1636765.4450000019</v>
      </c>
      <c r="AM103" s="21">
        <f>IF(AJ103&gt;0,AJ103+AK103+AL103,0)</f>
        <v>7280392.7783333398</v>
      </c>
      <c r="AN103" s="49">
        <f>IF(AP73&gt;0,+AP73,0)</f>
        <v>0</v>
      </c>
      <c r="AO103" s="77" t="str">
        <f>IF((AM103)&gt;0,IF(AN103&gt;0,AM103+AN103,""),"")</f>
        <v/>
      </c>
      <c r="AP103" s="213">
        <f t="shared" ref="AP103" si="229">+MIN(AO103:AO107)</f>
        <v>39564081.926333368</v>
      </c>
      <c r="AQ103" s="2"/>
      <c r="AR103" s="9"/>
    </row>
    <row r="104" spans="1:44" x14ac:dyDescent="0.25">
      <c r="A104" s="211"/>
      <c r="B104" s="211"/>
      <c r="C104" s="211"/>
      <c r="D104" s="211"/>
      <c r="E104" s="5">
        <v>2</v>
      </c>
      <c r="F104" s="35">
        <f>+H78</f>
        <v>46.765000000000001</v>
      </c>
      <c r="G104" s="5">
        <v>2</v>
      </c>
      <c r="H104" s="35">
        <f>+H103</f>
        <v>45.89</v>
      </c>
      <c r="I104" s="2">
        <f>+I103</f>
        <v>80</v>
      </c>
      <c r="J104" s="18">
        <f t="shared" si="214"/>
        <v>1.0937499999999999E-2</v>
      </c>
      <c r="K104" s="2">
        <f>+K103</f>
        <v>1281</v>
      </c>
      <c r="L104" s="15">
        <f t="shared" si="215"/>
        <v>15.573399999999999</v>
      </c>
      <c r="M104" s="33">
        <f t="shared" ref="M104:M107" si="230">+L104/1000</f>
        <v>1.5573399999999999E-2</v>
      </c>
      <c r="N104" s="33">
        <f t="shared" si="176"/>
        <v>0.13480405130829018</v>
      </c>
      <c r="O104" s="33">
        <f t="shared" si="177"/>
        <v>5.3072461144996135</v>
      </c>
      <c r="P104" s="58">
        <f t="shared" si="182"/>
        <v>6</v>
      </c>
      <c r="Q104" s="55">
        <f>IF(O104&gt;0,VLOOKUP(P104,'$ alcantarillado'!$I$5:$L$22,4,FALSE),"0")</f>
        <v>0.14499999999999999</v>
      </c>
      <c r="R104" s="55">
        <f t="shared" si="178"/>
        <v>1.8915751187347084E-2</v>
      </c>
      <c r="S104" s="35">
        <f t="shared" si="179"/>
        <v>0.823303280200534</v>
      </c>
      <c r="T104" s="58">
        <f>+IF(S104&gt;$B$13,VLOOKUP(P104,'$ alcantarillado'!$I$6:$N$22,5),P104)</f>
        <v>6</v>
      </c>
      <c r="U104" s="55">
        <f>IF(O104&gt;0,VLOOKUP(T104,'$ alcantarillado'!$I$5:$L$22,4),"0")</f>
        <v>0.14499999999999999</v>
      </c>
      <c r="V104" s="55">
        <f t="shared" si="180"/>
        <v>1.8915751187347084E-2</v>
      </c>
      <c r="W104" s="35">
        <f t="shared" si="181"/>
        <v>0.823303280200534</v>
      </c>
      <c r="X104" s="35">
        <f t="shared" ref="X104:X107" si="231">IF(T104&gt;0,4*V104/(PI()*(U104)^2),"")</f>
        <v>1.1455068932271779</v>
      </c>
      <c r="Y104" s="55">
        <f>IF(T104&gt;0,(VLOOKUP($W104,Relaciones!$A$4:$D$108,2)),"")</f>
        <v>0.99</v>
      </c>
      <c r="Z104" s="35">
        <f t="shared" ref="Z104:Z107" si="232">IF(T104&gt;0,Y104*X104,"")</f>
        <v>1.134051824294906</v>
      </c>
      <c r="AA104" s="35">
        <f t="shared" ref="AA104:AA107" si="233">IF(T104&gt;0,250*U104*J104,"")</f>
        <v>0.396484375</v>
      </c>
      <c r="AB104" s="46" t="str">
        <f t="shared" ref="AB104:AB107" si="234">IF(T104&gt;0,IF(W104&lt;=$B$13,"OK","No Cumple"),"")</f>
        <v>OK</v>
      </c>
      <c r="AC104" s="46" t="str">
        <f t="shared" ref="AC104:AC107" si="235">IF(T104&gt;0,IF(Z104&gt;=$B$12,"OK","No Cumple"),"")</f>
        <v>OK</v>
      </c>
      <c r="AD104" s="46" t="str">
        <f t="shared" ref="AD104:AD107" si="236">IF(T104&gt;0,IF(AA104&gt;$B$14,"OK","No Cumple"),"")</f>
        <v>OK</v>
      </c>
      <c r="AE104" s="48">
        <f t="shared" ref="AE104:AG107" si="237">+IF(AB104="OK",1,0)</f>
        <v>1</v>
      </c>
      <c r="AF104" s="48">
        <f t="shared" si="237"/>
        <v>1</v>
      </c>
      <c r="AG104" s="48">
        <f t="shared" si="237"/>
        <v>1</v>
      </c>
      <c r="AH104" s="48">
        <f t="shared" ref="AH104:AH107" si="238">SUM(AE104:AG104)</f>
        <v>3</v>
      </c>
      <c r="AI104" s="46">
        <f t="shared" ref="AI104:AI107" si="239">IF(AH104=3,2*$B$7+U104,0)</f>
        <v>0.64500000000000002</v>
      </c>
      <c r="AJ104" s="20">
        <f>IF(AI104&gt;0,I104*VLOOKUP(T104,'$ alcantarillado'!$I$6:$K$22,3),0)</f>
        <v>1912173.3333333335</v>
      </c>
      <c r="AK104" s="20">
        <f t="shared" si="211"/>
        <v>3847554.0000000042</v>
      </c>
      <c r="AL104" s="20">
        <f t="shared" si="212"/>
        <v>1724013.0700000019</v>
      </c>
      <c r="AM104" s="20">
        <f t="shared" si="226"/>
        <v>7483740.4033333398</v>
      </c>
      <c r="AN104" s="50">
        <f>+AP78</f>
        <v>0</v>
      </c>
      <c r="AO104" s="78" t="str">
        <f t="shared" si="82"/>
        <v/>
      </c>
      <c r="AP104" s="214"/>
      <c r="AQ104" s="2">
        <v>3</v>
      </c>
      <c r="AR104" s="9">
        <v>2</v>
      </c>
    </row>
    <row r="105" spans="1:44" x14ac:dyDescent="0.25">
      <c r="A105" s="211"/>
      <c r="B105" s="211"/>
      <c r="C105" s="211"/>
      <c r="D105" s="211"/>
      <c r="E105" s="56">
        <v>3</v>
      </c>
      <c r="F105" s="35">
        <f>+H83</f>
        <v>46.64</v>
      </c>
      <c r="G105" s="56">
        <v>2</v>
      </c>
      <c r="H105" s="35">
        <f t="shared" ref="H105:I106" si="240">+H104</f>
        <v>45.89</v>
      </c>
      <c r="I105" s="2">
        <f t="shared" si="240"/>
        <v>80</v>
      </c>
      <c r="J105" s="18">
        <f t="shared" si="214"/>
        <v>9.3749999999999997E-3</v>
      </c>
      <c r="K105" s="2">
        <f t="shared" ref="K105:K106" si="241">+K104</f>
        <v>1281</v>
      </c>
      <c r="L105" s="15">
        <f t="shared" si="215"/>
        <v>15.573399999999999</v>
      </c>
      <c r="M105" s="33">
        <f t="shared" si="230"/>
        <v>1.5573399999999999E-2</v>
      </c>
      <c r="N105" s="33">
        <f t="shared" si="176"/>
        <v>0.13875718078738841</v>
      </c>
      <c r="O105" s="33">
        <f t="shared" si="177"/>
        <v>5.4628811333617486</v>
      </c>
      <c r="P105" s="58">
        <f t="shared" si="182"/>
        <v>6</v>
      </c>
      <c r="Q105" s="55">
        <f>IF(O105&gt;0,VLOOKUP(P105,'$ alcantarillado'!$I$5:$L$22,4,FALSE),"0")</f>
        <v>0.14499999999999999</v>
      </c>
      <c r="R105" s="55">
        <f t="shared" si="178"/>
        <v>1.7512582651542437E-2</v>
      </c>
      <c r="S105" s="35">
        <f t="shared" si="179"/>
        <v>0.88926917918804838</v>
      </c>
      <c r="T105" s="58">
        <f>+IF(S105&gt;$B$13,VLOOKUP(P105,'$ alcantarillado'!$I$6:$N$22,5),P105)</f>
        <v>8</v>
      </c>
      <c r="U105" s="55">
        <f>IF(O105&gt;0,VLOOKUP(T105,'$ alcantarillado'!$I$5:$L$22,4),"0")</f>
        <v>0.182</v>
      </c>
      <c r="V105" s="55">
        <f t="shared" si="180"/>
        <v>3.2104005907504223E-2</v>
      </c>
      <c r="W105" s="35">
        <f t="shared" si="181"/>
        <v>0.48509211108635386</v>
      </c>
      <c r="X105" s="35">
        <f t="shared" si="231"/>
        <v>1.2340324195702708</v>
      </c>
      <c r="Y105" s="55">
        <f>IF(T105&gt;0,(VLOOKUP($W105,Relaciones!$A$4:$D$108,2)),"")</f>
        <v>0.84</v>
      </c>
      <c r="Z105" s="35">
        <f t="shared" si="232"/>
        <v>1.0365872324390275</v>
      </c>
      <c r="AA105" s="35">
        <f t="shared" si="233"/>
        <v>0.42656250000000001</v>
      </c>
      <c r="AB105" s="46" t="str">
        <f t="shared" si="234"/>
        <v>OK</v>
      </c>
      <c r="AC105" s="46" t="str">
        <f t="shared" si="235"/>
        <v>OK</v>
      </c>
      <c r="AD105" s="46" t="str">
        <f t="shared" si="236"/>
        <v>OK</v>
      </c>
      <c r="AE105" s="48">
        <f t="shared" si="237"/>
        <v>1</v>
      </c>
      <c r="AF105" s="48">
        <f t="shared" si="237"/>
        <v>1</v>
      </c>
      <c r="AG105" s="48">
        <f t="shared" si="237"/>
        <v>1</v>
      </c>
      <c r="AH105" s="48">
        <f t="shared" si="238"/>
        <v>3</v>
      </c>
      <c r="AI105" s="46">
        <f t="shared" si="239"/>
        <v>0.68199999999999994</v>
      </c>
      <c r="AJ105" s="20">
        <f>IF(AI105&gt;0,I105*VLOOKUP(T105,'$ alcantarillado'!$I$6:$K$22,3),0)</f>
        <v>2654586.666666667</v>
      </c>
      <c r="AK105" s="20">
        <f t="shared" si="211"/>
        <v>4245531.8400000036</v>
      </c>
      <c r="AL105" s="20">
        <f t="shared" si="212"/>
        <v>1837085.9920000019</v>
      </c>
      <c r="AM105" s="20">
        <f t="shared" si="226"/>
        <v>8737204.498666672</v>
      </c>
      <c r="AN105" s="50">
        <f>+AP83</f>
        <v>30826877.427666694</v>
      </c>
      <c r="AO105" s="78">
        <f t="shared" si="82"/>
        <v>39564081.926333368</v>
      </c>
      <c r="AP105" s="215"/>
      <c r="AQ105" s="2"/>
      <c r="AR105" s="9"/>
    </row>
    <row r="106" spans="1:44" x14ac:dyDescent="0.25">
      <c r="A106" s="211"/>
      <c r="B106" s="211"/>
      <c r="C106" s="211"/>
      <c r="D106" s="211"/>
      <c r="E106" s="56">
        <v>4</v>
      </c>
      <c r="F106" s="35">
        <f>+H88</f>
        <v>46.515000000000001</v>
      </c>
      <c r="G106" s="56">
        <v>2</v>
      </c>
      <c r="H106" s="35">
        <f t="shared" si="240"/>
        <v>45.89</v>
      </c>
      <c r="I106" s="2">
        <f t="shared" si="240"/>
        <v>80</v>
      </c>
      <c r="J106" s="18">
        <f>+(F106-H106)/I106</f>
        <v>7.8125E-3</v>
      </c>
      <c r="K106" s="2">
        <f t="shared" si="241"/>
        <v>1281</v>
      </c>
      <c r="L106" s="15">
        <f t="shared" si="215"/>
        <v>15.573399999999999</v>
      </c>
      <c r="M106" s="33">
        <f t="shared" si="230"/>
        <v>1.5573399999999999E-2</v>
      </c>
      <c r="N106" s="33">
        <f t="shared" si="176"/>
        <v>0.14358264555199565</v>
      </c>
      <c r="O106" s="33">
        <f t="shared" si="177"/>
        <v>5.6528600611021913</v>
      </c>
      <c r="P106" s="58">
        <f t="shared" si="182"/>
        <v>6</v>
      </c>
      <c r="Q106" s="55">
        <f>IF(O106&gt;0,VLOOKUP(P106,'$ alcantarillado'!$I$5:$L$22,4,FALSE),"0")</f>
        <v>0.14499999999999999</v>
      </c>
      <c r="R106" s="55">
        <f t="shared" si="178"/>
        <v>1.5986727597372376E-2</v>
      </c>
      <c r="S106" s="35">
        <f t="shared" si="179"/>
        <v>0.97414557827079551</v>
      </c>
      <c r="T106" s="58">
        <f>+IF(S106&gt;$B$13,VLOOKUP(P106,'$ alcantarillado'!$I$6:$N$22,5),P106)</f>
        <v>8</v>
      </c>
      <c r="U106" s="55">
        <f>IF(O106&gt;0,VLOOKUP(T106,'$ alcantarillado'!$I$5:$L$22,4),"0")</f>
        <v>0.182</v>
      </c>
      <c r="V106" s="55">
        <f t="shared" si="180"/>
        <v>2.9306813703031953E-2</v>
      </c>
      <c r="W106" s="35">
        <f t="shared" si="181"/>
        <v>0.53139178341959581</v>
      </c>
      <c r="X106" s="35">
        <f t="shared" si="231"/>
        <v>1.1265123214855279</v>
      </c>
      <c r="Y106" s="55">
        <f>IF(T106&gt;0,(VLOOKUP($W106,Relaciones!$A$4:$D$108,2)),"")</f>
        <v>0.86499999999999999</v>
      </c>
      <c r="Z106" s="35">
        <f t="shared" si="232"/>
        <v>0.97443315808498165</v>
      </c>
      <c r="AA106" s="35">
        <f t="shared" si="233"/>
        <v>0.35546875</v>
      </c>
      <c r="AB106" s="46" t="str">
        <f t="shared" si="234"/>
        <v>OK</v>
      </c>
      <c r="AC106" s="46" t="str">
        <f t="shared" si="235"/>
        <v>OK</v>
      </c>
      <c r="AD106" s="46" t="str">
        <f t="shared" si="236"/>
        <v>OK</v>
      </c>
      <c r="AE106" s="48">
        <f t="shared" si="237"/>
        <v>1</v>
      </c>
      <c r="AF106" s="48">
        <f t="shared" si="237"/>
        <v>1</v>
      </c>
      <c r="AG106" s="48">
        <f t="shared" si="237"/>
        <v>1</v>
      </c>
      <c r="AH106" s="48">
        <f t="shared" si="238"/>
        <v>3</v>
      </c>
      <c r="AI106" s="46">
        <f t="shared" si="239"/>
        <v>0.68199999999999994</v>
      </c>
      <c r="AJ106" s="20">
        <f>IF(AI106&gt;0,I106*VLOOKUP(T106,'$ alcantarillado'!$I$6:$K$22,3),0)</f>
        <v>2654586.666666667</v>
      </c>
      <c r="AK106" s="20">
        <f t="shared" si="211"/>
        <v>4368291.8400000036</v>
      </c>
      <c r="AL106" s="20">
        <f t="shared" si="212"/>
        <v>1924333.6170000019</v>
      </c>
      <c r="AM106" s="20">
        <f t="shared" si="226"/>
        <v>8947212.123666672</v>
      </c>
      <c r="AN106" s="50">
        <f>+AP88</f>
        <v>30888257.427666694</v>
      </c>
      <c r="AO106" s="78">
        <f t="shared" si="82"/>
        <v>39835469.551333368</v>
      </c>
      <c r="AP106" s="215"/>
      <c r="AQ106" s="2"/>
      <c r="AR106" s="9"/>
    </row>
    <row r="107" spans="1:44" ht="15.75" thickBot="1" x14ac:dyDescent="0.3">
      <c r="A107" s="211"/>
      <c r="B107" s="211"/>
      <c r="C107" s="211"/>
      <c r="D107" s="211"/>
      <c r="E107" s="6">
        <v>5</v>
      </c>
      <c r="F107" s="65">
        <f>+H93</f>
        <v>46.39</v>
      </c>
      <c r="G107" s="6">
        <v>2</v>
      </c>
      <c r="H107" s="65">
        <f>+H106</f>
        <v>45.89</v>
      </c>
      <c r="I107" s="10">
        <f>+I106</f>
        <v>80</v>
      </c>
      <c r="J107" s="19">
        <f t="shared" si="214"/>
        <v>6.2500000000000003E-3</v>
      </c>
      <c r="K107" s="10">
        <f>+K106</f>
        <v>1281</v>
      </c>
      <c r="L107" s="16">
        <f t="shared" si="215"/>
        <v>15.573399999999999</v>
      </c>
      <c r="M107" s="34">
        <f t="shared" si="230"/>
        <v>1.5573399999999999E-2</v>
      </c>
      <c r="N107" s="34">
        <f t="shared" si="176"/>
        <v>0.14971750410516779</v>
      </c>
      <c r="O107" s="34">
        <f t="shared" si="177"/>
        <v>5.8943899254003069</v>
      </c>
      <c r="P107" s="59">
        <f t="shared" si="182"/>
        <v>6</v>
      </c>
      <c r="Q107" s="55">
        <f>IF(O107&gt;0,VLOOKUP(P107,'$ alcantarillado'!$I$5:$L$22,4,FALSE),"0")</f>
        <v>0.14499999999999999</v>
      </c>
      <c r="R107" s="47">
        <f t="shared" si="178"/>
        <v>1.4298963858198607E-2</v>
      </c>
      <c r="S107" s="35">
        <f t="shared" si="179"/>
        <v>1.0891278664971706</v>
      </c>
      <c r="T107" s="58">
        <f>+IF(S107&gt;$B$13,VLOOKUP(P107,'$ alcantarillado'!$I$6:$N$22,5),P107)</f>
        <v>8</v>
      </c>
      <c r="U107" s="55">
        <f>IF(O107&gt;0,VLOOKUP(T107,'$ alcantarillado'!$I$5:$L$22,4),"0")</f>
        <v>0.182</v>
      </c>
      <c r="V107" s="55">
        <f t="shared" si="180"/>
        <v>2.6212811057560712E-2</v>
      </c>
      <c r="W107" s="35">
        <f t="shared" si="181"/>
        <v>0.59411407520553094</v>
      </c>
      <c r="X107" s="35">
        <f t="shared" si="231"/>
        <v>1.0075832513330949</v>
      </c>
      <c r="Y107" s="55">
        <f>IF(T107&gt;0,(VLOOKUP($W107,Relaciones!$A$4:$D$108,2)),"")</f>
        <v>0.89500000000000002</v>
      </c>
      <c r="Z107" s="35">
        <f t="shared" si="232"/>
        <v>0.90178700994312</v>
      </c>
      <c r="AA107" s="35">
        <f t="shared" si="233"/>
        <v>0.28437499999999999</v>
      </c>
      <c r="AB107" s="46" t="str">
        <f t="shared" si="234"/>
        <v>OK</v>
      </c>
      <c r="AC107" s="46" t="str">
        <f t="shared" si="235"/>
        <v>OK</v>
      </c>
      <c r="AD107" s="46" t="str">
        <f t="shared" si="236"/>
        <v>OK</v>
      </c>
      <c r="AE107" s="48">
        <f t="shared" si="237"/>
        <v>1</v>
      </c>
      <c r="AF107" s="48">
        <f t="shared" si="237"/>
        <v>1</v>
      </c>
      <c r="AG107" s="48">
        <f t="shared" si="237"/>
        <v>1</v>
      </c>
      <c r="AH107" s="48">
        <f t="shared" si="238"/>
        <v>3</v>
      </c>
      <c r="AI107" s="46">
        <f t="shared" si="239"/>
        <v>0.68199999999999994</v>
      </c>
      <c r="AJ107" s="22">
        <f>IF(AI107&gt;0,I107*VLOOKUP(T107,'$ alcantarillado'!$I$6:$K$22,3),0)</f>
        <v>2654586.666666667</v>
      </c>
      <c r="AK107" s="20">
        <f t="shared" si="211"/>
        <v>4491051.8400000036</v>
      </c>
      <c r="AL107" s="20">
        <f t="shared" si="212"/>
        <v>2011581.2420000019</v>
      </c>
      <c r="AM107" s="22">
        <f t="shared" si="226"/>
        <v>9157219.748666672</v>
      </c>
      <c r="AN107" s="51">
        <f>+AP93</f>
        <v>30949637.427666698</v>
      </c>
      <c r="AO107" s="79">
        <f t="shared" si="82"/>
        <v>40106857.176333368</v>
      </c>
      <c r="AP107" s="216"/>
      <c r="AQ107" s="10"/>
      <c r="AR107" s="11"/>
    </row>
    <row r="108" spans="1:44" x14ac:dyDescent="0.25">
      <c r="A108" s="211"/>
      <c r="B108" s="211"/>
      <c r="C108" s="211"/>
      <c r="D108" s="211"/>
      <c r="E108" s="4">
        <v>1</v>
      </c>
      <c r="F108" s="27">
        <f>+H73</f>
        <v>46.89</v>
      </c>
      <c r="G108" s="4">
        <v>3</v>
      </c>
      <c r="H108" s="27">
        <f>+'LOGIKA AN-3'!H108</f>
        <v>45.765000000000001</v>
      </c>
      <c r="I108" s="7">
        <f t="shared" ref="I108" si="242">+I107</f>
        <v>80</v>
      </c>
      <c r="J108" s="18">
        <f>+(F108-H108)/I108</f>
        <v>1.40625E-2</v>
      </c>
      <c r="K108" s="7">
        <f t="shared" ref="K108" si="243">+K107</f>
        <v>1281</v>
      </c>
      <c r="L108" s="14">
        <f>IF(K108&lt;38,K108^0.3686*0.7401,IF(K108&lt;235,K108^0.4193*0.6215,IF(K108&lt;932,K108*0.0092+4.2493,K108*0.0069+6.7345)))</f>
        <v>15.573399999999999</v>
      </c>
      <c r="M108" s="31">
        <f>+L108/1000</f>
        <v>1.5573399999999999E-2</v>
      </c>
      <c r="N108" s="31">
        <f t="shared" si="176"/>
        <v>0.12859922649084177</v>
      </c>
      <c r="O108" s="31">
        <f t="shared" si="177"/>
        <v>5.062961672867786</v>
      </c>
      <c r="P108" s="57">
        <f t="shared" si="182"/>
        <v>6</v>
      </c>
      <c r="Q108" s="60">
        <f>IF(O108&gt;0,VLOOKUP(P108,'$ alcantarillado'!$I$5:$L$22,4,FALSE),"0")</f>
        <v>0.14499999999999999</v>
      </c>
      <c r="R108" s="60">
        <f t="shared" si="178"/>
        <v>2.1448445787297914E-2</v>
      </c>
      <c r="S108" s="27">
        <f t="shared" si="179"/>
        <v>0.72608524433144694</v>
      </c>
      <c r="T108" s="57">
        <f>+IF(S108&gt;$B$13,VLOOKUP(P108,'$ alcantarillado'!$I$6:$N$22,5),P108)</f>
        <v>6</v>
      </c>
      <c r="U108" s="60">
        <f>IF(O108&gt;0,VLOOKUP(T108,'$ alcantarillado'!$I$5:$L$22,4),"0")</f>
        <v>0.14499999999999999</v>
      </c>
      <c r="V108" s="60">
        <f t="shared" si="180"/>
        <v>2.1448445787297914E-2</v>
      </c>
      <c r="W108" s="27">
        <f t="shared" si="181"/>
        <v>0.72608524433144694</v>
      </c>
      <c r="X108" s="27">
        <f>IF(T108&gt;0,4*V108/(PI()*(U108)^2),"")</f>
        <v>1.2988827276811423</v>
      </c>
      <c r="Y108" s="60">
        <f>IF(T108&gt;0,(VLOOKUP($W108,Relaciones!$A$4:$D$108,2)),"")</f>
        <v>0.95499999999999996</v>
      </c>
      <c r="Z108" s="27">
        <f>IF(T108&gt;0,Y108*X108,"")</f>
        <v>1.2404330049354908</v>
      </c>
      <c r="AA108" s="27">
        <f>IF(T108&gt;0,250*U108*J108,"")</f>
        <v>0.509765625</v>
      </c>
      <c r="AB108" s="45" t="str">
        <f>IF(T108&gt;0,IF(W108&lt;=$B$13,"OK","No Cumple"),"")</f>
        <v>OK</v>
      </c>
      <c r="AC108" s="45" t="str">
        <f>IF(T108&gt;0,IF(Z108&gt;=$B$12,"OK","No Cumple"),"")</f>
        <v>OK</v>
      </c>
      <c r="AD108" s="45" t="str">
        <f>IF(T108&gt;0,IF(AA108&gt;$B$14,"OK","No Cumple"),"")</f>
        <v>OK</v>
      </c>
      <c r="AE108" s="32">
        <f>+IF(AB108="OK",1,0)</f>
        <v>1</v>
      </c>
      <c r="AF108" s="32">
        <f>+IF(AC108="OK",1,0)</f>
        <v>1</v>
      </c>
      <c r="AG108" s="32">
        <f>+IF(AD108="OK",1,0)</f>
        <v>1</v>
      </c>
      <c r="AH108" s="32">
        <f>SUM(AE108:AG108)</f>
        <v>3</v>
      </c>
      <c r="AI108" s="45">
        <f>IF(AH108=3,2*$B$7+U108,0)</f>
        <v>0.64500000000000002</v>
      </c>
      <c r="AJ108" s="21">
        <f>IF(AI108&gt;0,I108*VLOOKUP(T108,'$ alcantarillado'!$I$6:$K$22,3),0)</f>
        <v>1912173.3333333335</v>
      </c>
      <c r="AK108" s="61">
        <f t="shared" si="211"/>
        <v>3789504.0000000037</v>
      </c>
      <c r="AL108" s="61">
        <f t="shared" si="212"/>
        <v>1636765.4450000019</v>
      </c>
      <c r="AM108" s="21">
        <f>IF(AJ108&gt;0,AJ108+AK108+AL108,0)</f>
        <v>7338442.7783333398</v>
      </c>
      <c r="AN108" s="49">
        <f>IF(AP73&gt;0,+AP73,0)</f>
        <v>0</v>
      </c>
      <c r="AO108" s="77" t="str">
        <f>IF((AM108)&gt;0,IF(AN108&gt;0,AM108+AN108,""),"")</f>
        <v/>
      </c>
      <c r="AP108" s="221">
        <f t="shared" ref="AP108" si="244">+MIN(AO108:AO112)</f>
        <v>38572015.45600003</v>
      </c>
      <c r="AQ108" s="7"/>
      <c r="AR108" s="8"/>
    </row>
    <row r="109" spans="1:44" x14ac:dyDescent="0.25">
      <c r="A109" s="211"/>
      <c r="B109" s="211"/>
      <c r="C109" s="211"/>
      <c r="D109" s="211"/>
      <c r="E109" s="5">
        <v>2</v>
      </c>
      <c r="F109" s="35">
        <f>+H78</f>
        <v>46.765000000000001</v>
      </c>
      <c r="G109" s="5">
        <v>3</v>
      </c>
      <c r="H109" s="35">
        <f>+H108</f>
        <v>45.765000000000001</v>
      </c>
      <c r="I109" s="2">
        <f>+I108</f>
        <v>80</v>
      </c>
      <c r="J109" s="18">
        <f t="shared" si="214"/>
        <v>1.2500000000000001E-2</v>
      </c>
      <c r="K109" s="2">
        <f>+K108</f>
        <v>1281</v>
      </c>
      <c r="L109" s="15">
        <f t="shared" si="215"/>
        <v>15.573399999999999</v>
      </c>
      <c r="M109" s="33">
        <f t="shared" ref="M109:M112" si="245">+L109/1000</f>
        <v>1.5573399999999999E-2</v>
      </c>
      <c r="N109" s="33">
        <f t="shared" si="176"/>
        <v>0.13147084501519965</v>
      </c>
      <c r="O109" s="33">
        <f t="shared" si="177"/>
        <v>5.1760175202834509</v>
      </c>
      <c r="P109" s="58">
        <f t="shared" si="182"/>
        <v>6</v>
      </c>
      <c r="Q109" s="55">
        <f>IF(O109&gt;0,VLOOKUP(P109,'$ alcantarillado'!$I$5:$L$22,4,FALSE),"0")</f>
        <v>0.14499999999999999</v>
      </c>
      <c r="R109" s="55">
        <f t="shared" si="178"/>
        <v>2.0221788616147186E-2</v>
      </c>
      <c r="S109" s="35">
        <f t="shared" si="179"/>
        <v>0.77012969997938618</v>
      </c>
      <c r="T109" s="58">
        <f>+IF(S109&gt;$B$13,VLOOKUP(P109,'$ alcantarillado'!$I$6:$N$22,5),P109)</f>
        <v>6</v>
      </c>
      <c r="U109" s="55">
        <f>IF(O109&gt;0,VLOOKUP(T109,'$ alcantarillado'!$I$5:$L$22,4),"0")</f>
        <v>0.14499999999999999</v>
      </c>
      <c r="V109" s="55">
        <f t="shared" si="180"/>
        <v>2.0221788616147186E-2</v>
      </c>
      <c r="W109" s="35">
        <f t="shared" si="181"/>
        <v>0.77012969997938618</v>
      </c>
      <c r="X109" s="35">
        <f t="shared" ref="X109:X112" si="246">IF(T109&gt;0,4*V109/(PI()*(U109)^2),"")</f>
        <v>1.2245983796125537</v>
      </c>
      <c r="Y109" s="55">
        <f>IF(T109&gt;0,(VLOOKUP($W109,Relaciones!$A$4:$D$108,2)),"")</f>
        <v>0.97199999999999998</v>
      </c>
      <c r="Z109" s="35">
        <f t="shared" ref="Z109:Z112" si="247">IF(T109&gt;0,Y109*X109,"")</f>
        <v>1.1903096249834022</v>
      </c>
      <c r="AA109" s="35">
        <f t="shared" ref="AA109:AA112" si="248">IF(T109&gt;0,250*U109*J109,"")</f>
        <v>0.453125</v>
      </c>
      <c r="AB109" s="46" t="str">
        <f t="shared" ref="AB109:AB112" si="249">IF(T109&gt;0,IF(W109&lt;=$B$13,"OK","No Cumple"),"")</f>
        <v>OK</v>
      </c>
      <c r="AC109" s="46" t="str">
        <f t="shared" ref="AC109:AC112" si="250">IF(T109&gt;0,IF(Z109&gt;=$B$12,"OK","No Cumple"),"")</f>
        <v>OK</v>
      </c>
      <c r="AD109" s="46" t="str">
        <f t="shared" ref="AD109:AD112" si="251">IF(T109&gt;0,IF(AA109&gt;$B$14,"OK","No Cumple"),"")</f>
        <v>OK</v>
      </c>
      <c r="AE109" s="48">
        <f t="shared" ref="AE109:AG112" si="252">+IF(AB109="OK",1,0)</f>
        <v>1</v>
      </c>
      <c r="AF109" s="48">
        <f t="shared" si="252"/>
        <v>1</v>
      </c>
      <c r="AG109" s="48">
        <f t="shared" si="252"/>
        <v>1</v>
      </c>
      <c r="AH109" s="48">
        <f t="shared" ref="AH109:AH112" si="253">SUM(AE109:AG109)</f>
        <v>3</v>
      </c>
      <c r="AI109" s="46">
        <f t="shared" ref="AI109:AI112" si="254">IF(AH109=3,2*$B$7+U109,0)</f>
        <v>0.64500000000000002</v>
      </c>
      <c r="AJ109" s="20">
        <f>IF(AI109&gt;0,I109*VLOOKUP(T109,'$ alcantarillado'!$I$6:$K$22,3),0)</f>
        <v>1912173.3333333335</v>
      </c>
      <c r="AK109" s="20">
        <f t="shared" si="211"/>
        <v>3905604.0000000042</v>
      </c>
      <c r="AL109" s="20">
        <f t="shared" si="212"/>
        <v>1724013.0700000019</v>
      </c>
      <c r="AM109" s="20">
        <f t="shared" si="226"/>
        <v>7541790.4033333398</v>
      </c>
      <c r="AN109" s="50">
        <f>+AP78</f>
        <v>0</v>
      </c>
      <c r="AO109" s="78" t="str">
        <f t="shared" si="82"/>
        <v/>
      </c>
      <c r="AP109" s="222"/>
      <c r="AQ109" s="2"/>
      <c r="AR109" s="9"/>
    </row>
    <row r="110" spans="1:44" x14ac:dyDescent="0.25">
      <c r="A110" s="211"/>
      <c r="B110" s="211"/>
      <c r="C110" s="211"/>
      <c r="D110" s="211"/>
      <c r="E110" s="56">
        <v>3</v>
      </c>
      <c r="F110" s="35">
        <f>+H83</f>
        <v>46.64</v>
      </c>
      <c r="G110" s="56">
        <v>3</v>
      </c>
      <c r="H110" s="35">
        <f>+'LOGIKA AN-2'!H113</f>
        <v>45.765000000000001</v>
      </c>
      <c r="I110" s="2">
        <f t="shared" ref="H110:I111" si="255">+I109</f>
        <v>80</v>
      </c>
      <c r="J110" s="18">
        <f t="shared" si="214"/>
        <v>1.0937499999999999E-2</v>
      </c>
      <c r="K110" s="2">
        <f t="shared" ref="K110:K111" si="256">+K109</f>
        <v>1281</v>
      </c>
      <c r="L110" s="15">
        <f t="shared" si="215"/>
        <v>15.573399999999999</v>
      </c>
      <c r="M110" s="33">
        <f t="shared" si="245"/>
        <v>1.5573399999999999E-2</v>
      </c>
      <c r="N110" s="33">
        <f t="shared" si="176"/>
        <v>0.13480405130829018</v>
      </c>
      <c r="O110" s="33">
        <f t="shared" si="177"/>
        <v>5.3072461144996135</v>
      </c>
      <c r="P110" s="58">
        <f t="shared" si="182"/>
        <v>6</v>
      </c>
      <c r="Q110" s="55">
        <f>IF(O110&gt;0,VLOOKUP(P110,'$ alcantarillado'!$I$5:$L$22,4,FALSE),"0")</f>
        <v>0.14499999999999999</v>
      </c>
      <c r="R110" s="55">
        <f t="shared" si="178"/>
        <v>1.8915751187347084E-2</v>
      </c>
      <c r="S110" s="35">
        <f t="shared" si="179"/>
        <v>0.823303280200534</v>
      </c>
      <c r="T110" s="58">
        <f>+IF(S110&gt;$B$13,VLOOKUP(P110,'$ alcantarillado'!$I$6:$N$22,5),P110)</f>
        <v>6</v>
      </c>
      <c r="U110" s="55">
        <f>IF(O110&gt;0,VLOOKUP(T110,'$ alcantarillado'!$I$5:$L$22,4),"0")</f>
        <v>0.14499999999999999</v>
      </c>
      <c r="V110" s="55">
        <f t="shared" si="180"/>
        <v>1.8915751187347084E-2</v>
      </c>
      <c r="W110" s="35">
        <f t="shared" si="181"/>
        <v>0.823303280200534</v>
      </c>
      <c r="X110" s="35">
        <f t="shared" si="246"/>
        <v>1.1455068932271779</v>
      </c>
      <c r="Y110" s="55">
        <f>IF(T110&gt;0,(VLOOKUP($W110,Relaciones!$A$4:$D$108,2)),"")</f>
        <v>0.99</v>
      </c>
      <c r="Z110" s="35">
        <f t="shared" si="247"/>
        <v>1.134051824294906</v>
      </c>
      <c r="AA110" s="35">
        <f t="shared" si="248"/>
        <v>0.396484375</v>
      </c>
      <c r="AB110" s="46" t="str">
        <f t="shared" si="249"/>
        <v>OK</v>
      </c>
      <c r="AC110" s="46" t="str">
        <f t="shared" si="250"/>
        <v>OK</v>
      </c>
      <c r="AD110" s="46" t="str">
        <f t="shared" si="251"/>
        <v>OK</v>
      </c>
      <c r="AE110" s="48">
        <f t="shared" si="252"/>
        <v>1</v>
      </c>
      <c r="AF110" s="48">
        <f t="shared" si="252"/>
        <v>1</v>
      </c>
      <c r="AG110" s="48">
        <f t="shared" si="252"/>
        <v>1</v>
      </c>
      <c r="AH110" s="48">
        <f t="shared" si="253"/>
        <v>3</v>
      </c>
      <c r="AI110" s="46">
        <f t="shared" si="254"/>
        <v>0.64500000000000002</v>
      </c>
      <c r="AJ110" s="20">
        <f>IF(AI110&gt;0,I110*VLOOKUP(T110,'$ alcantarillado'!$I$6:$K$22,3),0)</f>
        <v>1912173.3333333335</v>
      </c>
      <c r="AK110" s="20">
        <f t="shared" si="211"/>
        <v>4021704.0000000047</v>
      </c>
      <c r="AL110" s="20">
        <f t="shared" si="212"/>
        <v>1811260.6950000019</v>
      </c>
      <c r="AM110" s="20">
        <f t="shared" si="226"/>
        <v>7745138.0283333398</v>
      </c>
      <c r="AN110" s="50">
        <f>+AP83</f>
        <v>30826877.427666694</v>
      </c>
      <c r="AO110" s="66">
        <f t="shared" si="82"/>
        <v>38572015.45600003</v>
      </c>
      <c r="AP110" s="223"/>
      <c r="AQ110" s="2"/>
      <c r="AR110" s="9"/>
    </row>
    <row r="111" spans="1:44" x14ac:dyDescent="0.25">
      <c r="A111" s="211"/>
      <c r="B111" s="211"/>
      <c r="C111" s="211"/>
      <c r="D111" s="211"/>
      <c r="E111" s="56">
        <v>4</v>
      </c>
      <c r="F111" s="35">
        <f>+H88</f>
        <v>46.515000000000001</v>
      </c>
      <c r="G111" s="56">
        <v>3</v>
      </c>
      <c r="H111" s="35">
        <f t="shared" si="255"/>
        <v>45.765000000000001</v>
      </c>
      <c r="I111" s="2">
        <f t="shared" si="255"/>
        <v>80</v>
      </c>
      <c r="J111" s="18">
        <f>+(F111-H111)/I111</f>
        <v>9.3749999999999997E-3</v>
      </c>
      <c r="K111" s="2">
        <f t="shared" si="256"/>
        <v>1281</v>
      </c>
      <c r="L111" s="15">
        <f t="shared" si="215"/>
        <v>15.573399999999999</v>
      </c>
      <c r="M111" s="33">
        <f t="shared" si="245"/>
        <v>1.5573399999999999E-2</v>
      </c>
      <c r="N111" s="33">
        <f t="shared" si="176"/>
        <v>0.13875718078738841</v>
      </c>
      <c r="O111" s="33">
        <f t="shared" si="177"/>
        <v>5.4628811333617486</v>
      </c>
      <c r="P111" s="58">
        <f t="shared" si="182"/>
        <v>6</v>
      </c>
      <c r="Q111" s="55">
        <f>IF(O111&gt;0,VLOOKUP(P111,'$ alcantarillado'!$I$5:$L$22,4,FALSE),"0")</f>
        <v>0.14499999999999999</v>
      </c>
      <c r="R111" s="55">
        <f t="shared" si="178"/>
        <v>1.7512582651542437E-2</v>
      </c>
      <c r="S111" s="35">
        <f t="shared" si="179"/>
        <v>0.88926917918804838</v>
      </c>
      <c r="T111" s="58">
        <f>+IF(S111&gt;$B$13,VLOOKUP(P111,'$ alcantarillado'!$I$6:$N$22,5),P111)</f>
        <v>8</v>
      </c>
      <c r="U111" s="55">
        <f>IF(O111&gt;0,VLOOKUP(T111,'$ alcantarillado'!$I$5:$L$22,4),"0")</f>
        <v>0.182</v>
      </c>
      <c r="V111" s="55">
        <f t="shared" si="180"/>
        <v>3.2104005907504223E-2</v>
      </c>
      <c r="W111" s="35">
        <f t="shared" si="181"/>
        <v>0.48509211108635386</v>
      </c>
      <c r="X111" s="35">
        <f t="shared" si="246"/>
        <v>1.2340324195702708</v>
      </c>
      <c r="Y111" s="55">
        <f>IF(T111&gt;0,(VLOOKUP($W111,Relaciones!$A$4:$D$108,2)),"")</f>
        <v>0.84</v>
      </c>
      <c r="Z111" s="35">
        <f t="shared" si="247"/>
        <v>1.0365872324390275</v>
      </c>
      <c r="AA111" s="35">
        <f t="shared" si="248"/>
        <v>0.42656250000000001</v>
      </c>
      <c r="AB111" s="46" t="str">
        <f t="shared" si="249"/>
        <v>OK</v>
      </c>
      <c r="AC111" s="46" t="str">
        <f t="shared" si="250"/>
        <v>OK</v>
      </c>
      <c r="AD111" s="46" t="str">
        <f t="shared" si="251"/>
        <v>OK</v>
      </c>
      <c r="AE111" s="48">
        <f t="shared" si="252"/>
        <v>1</v>
      </c>
      <c r="AF111" s="48">
        <f t="shared" si="252"/>
        <v>1</v>
      </c>
      <c r="AG111" s="48">
        <f t="shared" si="252"/>
        <v>1</v>
      </c>
      <c r="AH111" s="48">
        <f t="shared" si="253"/>
        <v>3</v>
      </c>
      <c r="AI111" s="46">
        <f t="shared" si="254"/>
        <v>0.68199999999999994</v>
      </c>
      <c r="AJ111" s="20">
        <f>IF(AI111&gt;0,I111*VLOOKUP(T111,'$ alcantarillado'!$I$6:$K$22,3),0)</f>
        <v>2654586.666666667</v>
      </c>
      <c r="AK111" s="20">
        <f t="shared" si="211"/>
        <v>4429671.8400000036</v>
      </c>
      <c r="AL111" s="20">
        <f t="shared" si="212"/>
        <v>1924333.6170000019</v>
      </c>
      <c r="AM111" s="20">
        <f t="shared" si="226"/>
        <v>9008592.123666672</v>
      </c>
      <c r="AN111" s="50">
        <f>+AP88</f>
        <v>30888257.427666694</v>
      </c>
      <c r="AO111" s="78">
        <f t="shared" si="82"/>
        <v>39896849.551333368</v>
      </c>
      <c r="AP111" s="223"/>
      <c r="AQ111" s="2">
        <v>3</v>
      </c>
      <c r="AR111" s="9">
        <v>3</v>
      </c>
    </row>
    <row r="112" spans="1:44" ht="15.75" thickBot="1" x14ac:dyDescent="0.3">
      <c r="A112" s="211"/>
      <c r="B112" s="211"/>
      <c r="C112" s="211"/>
      <c r="D112" s="211"/>
      <c r="E112" s="6">
        <v>5</v>
      </c>
      <c r="F112" s="65">
        <f>+H93</f>
        <v>46.39</v>
      </c>
      <c r="G112" s="6">
        <v>3</v>
      </c>
      <c r="H112" s="65">
        <f>+H111</f>
        <v>45.765000000000001</v>
      </c>
      <c r="I112" s="10">
        <f>+I111</f>
        <v>80</v>
      </c>
      <c r="J112" s="19">
        <f t="shared" si="214"/>
        <v>7.8125E-3</v>
      </c>
      <c r="K112" s="10">
        <f>+K111</f>
        <v>1281</v>
      </c>
      <c r="L112" s="16">
        <f t="shared" si="215"/>
        <v>15.573399999999999</v>
      </c>
      <c r="M112" s="34">
        <f t="shared" si="245"/>
        <v>1.5573399999999999E-2</v>
      </c>
      <c r="N112" s="34">
        <f t="shared" si="176"/>
        <v>0.14358264555199565</v>
      </c>
      <c r="O112" s="34">
        <f t="shared" si="177"/>
        <v>5.6528600611021913</v>
      </c>
      <c r="P112" s="59">
        <f t="shared" si="182"/>
        <v>6</v>
      </c>
      <c r="Q112" s="55">
        <f>IF(O112&gt;0,VLOOKUP(P112,'$ alcantarillado'!$I$5:$L$22,4,FALSE),"0")</f>
        <v>0.14499999999999999</v>
      </c>
      <c r="R112" s="47">
        <f t="shared" si="178"/>
        <v>1.5986727597372376E-2</v>
      </c>
      <c r="S112" s="35">
        <f t="shared" si="179"/>
        <v>0.97414557827079551</v>
      </c>
      <c r="T112" s="58">
        <f>+IF(S112&gt;$B$13,VLOOKUP(P112,'$ alcantarillado'!$I$6:$N$22,5),P112)</f>
        <v>8</v>
      </c>
      <c r="U112" s="55">
        <f>IF(O112&gt;0,VLOOKUP(T112,'$ alcantarillado'!$I$5:$L$22,4),"0")</f>
        <v>0.182</v>
      </c>
      <c r="V112" s="55">
        <f t="shared" si="180"/>
        <v>2.9306813703031953E-2</v>
      </c>
      <c r="W112" s="35">
        <f t="shared" si="181"/>
        <v>0.53139178341959581</v>
      </c>
      <c r="X112" s="35">
        <f t="shared" si="246"/>
        <v>1.1265123214855279</v>
      </c>
      <c r="Y112" s="55">
        <f>IF(T112&gt;0,(VLOOKUP($W112,Relaciones!$A$4:$D$108,2)),"")</f>
        <v>0.86499999999999999</v>
      </c>
      <c r="Z112" s="35">
        <f t="shared" si="247"/>
        <v>0.97443315808498165</v>
      </c>
      <c r="AA112" s="35">
        <f t="shared" si="248"/>
        <v>0.35546875</v>
      </c>
      <c r="AB112" s="46" t="str">
        <f t="shared" si="249"/>
        <v>OK</v>
      </c>
      <c r="AC112" s="46" t="str">
        <f t="shared" si="250"/>
        <v>OK</v>
      </c>
      <c r="AD112" s="46" t="str">
        <f t="shared" si="251"/>
        <v>OK</v>
      </c>
      <c r="AE112" s="48">
        <f t="shared" si="252"/>
        <v>1</v>
      </c>
      <c r="AF112" s="48">
        <f t="shared" si="252"/>
        <v>1</v>
      </c>
      <c r="AG112" s="48">
        <f t="shared" si="252"/>
        <v>1</v>
      </c>
      <c r="AH112" s="48">
        <f t="shared" si="253"/>
        <v>3</v>
      </c>
      <c r="AI112" s="46">
        <f t="shared" si="254"/>
        <v>0.68199999999999994</v>
      </c>
      <c r="AJ112" s="22">
        <f>IF(AI112&gt;0,I112*VLOOKUP(T112,'$ alcantarillado'!$I$6:$K$22,3),0)</f>
        <v>2654586.666666667</v>
      </c>
      <c r="AK112" s="20">
        <f t="shared" si="211"/>
        <v>4552431.8400000036</v>
      </c>
      <c r="AL112" s="20">
        <f t="shared" si="212"/>
        <v>2011581.2420000019</v>
      </c>
      <c r="AM112" s="22">
        <f t="shared" si="226"/>
        <v>9218599.748666672</v>
      </c>
      <c r="AN112" s="51">
        <f>+AP93</f>
        <v>30949637.427666698</v>
      </c>
      <c r="AO112" s="79">
        <f t="shared" si="82"/>
        <v>40168237.176333368</v>
      </c>
      <c r="AP112" s="224"/>
      <c r="AQ112" s="10"/>
      <c r="AR112" s="11"/>
    </row>
    <row r="113" spans="1:44" x14ac:dyDescent="0.25">
      <c r="A113" s="211"/>
      <c r="B113" s="211"/>
      <c r="C113" s="211"/>
      <c r="D113" s="211"/>
      <c r="E113" s="4">
        <v>1</v>
      </c>
      <c r="F113" s="27">
        <f>+H73</f>
        <v>46.89</v>
      </c>
      <c r="G113" s="4">
        <v>4</v>
      </c>
      <c r="H113" s="14">
        <f>+H108-$B$15</f>
        <v>45.64</v>
      </c>
      <c r="I113" s="12">
        <f>+I108</f>
        <v>80</v>
      </c>
      <c r="J113" s="18">
        <f>+(F113-H113)/I113</f>
        <v>1.5625E-2</v>
      </c>
      <c r="K113" s="12">
        <f>+K108</f>
        <v>1281</v>
      </c>
      <c r="L113" s="14">
        <f>IF(K113&lt;38,K113^0.3686*0.7401,IF(K113&lt;235,K113^0.4193*0.6215,IF(K113&lt;932,K113*0.0092+4.2493,K113*0.0069+6.7345)))</f>
        <v>15.573399999999999</v>
      </c>
      <c r="M113" s="31">
        <f>+L113/1000</f>
        <v>1.5573399999999999E-2</v>
      </c>
      <c r="N113" s="31">
        <f t="shared" si="176"/>
        <v>0.12608366572140306</v>
      </c>
      <c r="O113" s="31">
        <f t="shared" si="177"/>
        <v>4.9639238472993332</v>
      </c>
      <c r="P113" s="57">
        <f t="shared" si="182"/>
        <v>6</v>
      </c>
      <c r="Q113" s="60">
        <f>IF(O113&gt;0,VLOOKUP(P113,'$ alcantarillado'!$I$5:$L$22,4,FALSE),"0")</f>
        <v>0.14499999999999999</v>
      </c>
      <c r="R113" s="60">
        <f t="shared" si="178"/>
        <v>2.2608646986168258E-2</v>
      </c>
      <c r="S113" s="27">
        <f t="shared" si="179"/>
        <v>0.68882494425817031</v>
      </c>
      <c r="T113" s="57">
        <f>+IF(S113&gt;$B$13,VLOOKUP(P113,'$ alcantarillado'!$I$6:$N$22,5),P113)</f>
        <v>6</v>
      </c>
      <c r="U113" s="60">
        <f>IF(O113&gt;0,VLOOKUP(T113,'$ alcantarillado'!$I$5:$L$22,4),"0")</f>
        <v>0.14499999999999999</v>
      </c>
      <c r="V113" s="60">
        <f t="shared" si="180"/>
        <v>2.2608646986168258E-2</v>
      </c>
      <c r="W113" s="27">
        <f t="shared" si="181"/>
        <v>0.68882494425817031</v>
      </c>
      <c r="X113" s="27">
        <f>IF(T113&gt;0,4*V113/(PI()*(U113)^2),"")</f>
        <v>1.3691426109748814</v>
      </c>
      <c r="Y113" s="60">
        <f>IF(T113&gt;0,(VLOOKUP($W113,Relaciones!$A$4:$D$108,2)),"")</f>
        <v>0.93600000000000005</v>
      </c>
      <c r="Z113" s="27">
        <f>IF(T113&gt;0,Y113*X113,"")</f>
        <v>1.2815174838724892</v>
      </c>
      <c r="AA113" s="27">
        <f>IF(T113&gt;0,250*U113*J113,"")</f>
        <v>0.56640625</v>
      </c>
      <c r="AB113" s="45" t="str">
        <f>IF(T113&gt;0,IF(W113&lt;=$B$13,"OK","No Cumple"),"")</f>
        <v>OK</v>
      </c>
      <c r="AC113" s="45" t="str">
        <f>IF(T113&gt;0,IF(Z113&gt;=$B$12,"OK","No Cumple"),"")</f>
        <v>OK</v>
      </c>
      <c r="AD113" s="45" t="str">
        <f>IF(T113&gt;0,IF(AA113&gt;$B$14,"OK","No Cumple"),"")</f>
        <v>OK</v>
      </c>
      <c r="AE113" s="32">
        <f>+IF(AB113="OK",1,0)</f>
        <v>1</v>
      </c>
      <c r="AF113" s="32">
        <f>+IF(AC113="OK",1,0)</f>
        <v>1</v>
      </c>
      <c r="AG113" s="32">
        <f>+IF(AD113="OK",1,0)</f>
        <v>1</v>
      </c>
      <c r="AH113" s="32">
        <f>SUM(AE113:AG113)</f>
        <v>3</v>
      </c>
      <c r="AI113" s="45">
        <f>IF(AH113=3,2*$B$7+U113,0)</f>
        <v>0.64500000000000002</v>
      </c>
      <c r="AJ113" s="21">
        <f>IF(AI113&gt;0,I113*VLOOKUP(T113,'$ alcantarillado'!$I$6:$K$22,3),0)</f>
        <v>1912173.3333333335</v>
      </c>
      <c r="AK113" s="61">
        <f t="shared" si="211"/>
        <v>3847554.0000000042</v>
      </c>
      <c r="AL113" s="61">
        <f t="shared" si="212"/>
        <v>1636765.4450000019</v>
      </c>
      <c r="AM113" s="21">
        <f>IF(AJ113&gt;0,AJ113+AK113+AL113,0)</f>
        <v>7396492.7783333398</v>
      </c>
      <c r="AN113" s="49">
        <f>IF(AP73&gt;0,+AP73,0)</f>
        <v>0</v>
      </c>
      <c r="AO113" s="77" t="str">
        <f>IF((AM113)&gt;0,IF(AN113&gt;0,AM113+AN113,""),"")</f>
        <v/>
      </c>
      <c r="AP113" s="213">
        <f t="shared" ref="AP113" si="257">+MIN(AO113:AO117)</f>
        <v>38630065.45600003</v>
      </c>
      <c r="AQ113" s="7"/>
      <c r="AR113" s="8"/>
    </row>
    <row r="114" spans="1:44" x14ac:dyDescent="0.25">
      <c r="A114" s="211"/>
      <c r="B114" s="211"/>
      <c r="C114" s="211"/>
      <c r="D114" s="211"/>
      <c r="E114" s="5">
        <v>2</v>
      </c>
      <c r="F114" s="35">
        <f>+H78</f>
        <v>46.765000000000001</v>
      </c>
      <c r="G114" s="5">
        <v>4</v>
      </c>
      <c r="H114" s="15">
        <f>+H113</f>
        <v>45.64</v>
      </c>
      <c r="I114" s="2">
        <f>+I113</f>
        <v>80</v>
      </c>
      <c r="J114" s="18">
        <f t="shared" si="214"/>
        <v>1.40625E-2</v>
      </c>
      <c r="K114" s="2">
        <f>+K113</f>
        <v>1281</v>
      </c>
      <c r="L114" s="15">
        <f t="shared" si="215"/>
        <v>15.573399999999999</v>
      </c>
      <c r="M114" s="33">
        <f t="shared" ref="M114:M117" si="258">+L114/1000</f>
        <v>1.5573399999999999E-2</v>
      </c>
      <c r="N114" s="33">
        <f t="shared" si="176"/>
        <v>0.12859922649084177</v>
      </c>
      <c r="O114" s="33">
        <f t="shared" si="177"/>
        <v>5.062961672867786</v>
      </c>
      <c r="P114" s="58">
        <f t="shared" si="182"/>
        <v>6</v>
      </c>
      <c r="Q114" s="55">
        <f>IF(O114&gt;0,VLOOKUP(P114,'$ alcantarillado'!$I$5:$L$22,4,FALSE),"0")</f>
        <v>0.14499999999999999</v>
      </c>
      <c r="R114" s="55">
        <f t="shared" si="178"/>
        <v>2.1448445787297914E-2</v>
      </c>
      <c r="S114" s="35">
        <f t="shared" si="179"/>
        <v>0.72608524433144694</v>
      </c>
      <c r="T114" s="58">
        <f>+IF(S114&gt;$B$13,VLOOKUP(P114,'$ alcantarillado'!$I$6:$N$22,5),P114)</f>
        <v>6</v>
      </c>
      <c r="U114" s="55">
        <f>IF(O114&gt;0,VLOOKUP(T114,'$ alcantarillado'!$I$5:$L$22,4),"0")</f>
        <v>0.14499999999999999</v>
      </c>
      <c r="V114" s="55">
        <f t="shared" si="180"/>
        <v>2.1448445787297914E-2</v>
      </c>
      <c r="W114" s="35">
        <f t="shared" si="181"/>
        <v>0.72608524433144694</v>
      </c>
      <c r="X114" s="35">
        <f t="shared" ref="X114:X117" si="259">IF(T114&gt;0,4*V114/(PI()*(U114)^2),"")</f>
        <v>1.2988827276811423</v>
      </c>
      <c r="Y114" s="55">
        <f>IF(T114&gt;0,(VLOOKUP($W114,Relaciones!$A$4:$D$108,2)),"")</f>
        <v>0.95499999999999996</v>
      </c>
      <c r="Z114" s="35">
        <f t="shared" ref="Z114:Z117" si="260">IF(T114&gt;0,Y114*X114,"")</f>
        <v>1.2404330049354908</v>
      </c>
      <c r="AA114" s="35">
        <f t="shared" ref="AA114:AA117" si="261">IF(T114&gt;0,250*U114*J114,"")</f>
        <v>0.509765625</v>
      </c>
      <c r="AB114" s="46" t="str">
        <f t="shared" ref="AB114:AB117" si="262">IF(T114&gt;0,IF(W114&lt;=$B$13,"OK","No Cumple"),"")</f>
        <v>OK</v>
      </c>
      <c r="AC114" s="46" t="str">
        <f t="shared" ref="AC114:AC117" si="263">IF(T114&gt;0,IF(Z114&gt;=$B$12,"OK","No Cumple"),"")</f>
        <v>OK</v>
      </c>
      <c r="AD114" s="46" t="str">
        <f t="shared" ref="AD114:AD117" si="264">IF(T114&gt;0,IF(AA114&gt;$B$14,"OK","No Cumple"),"")</f>
        <v>OK</v>
      </c>
      <c r="AE114" s="48">
        <f t="shared" ref="AE114:AG117" si="265">+IF(AB114="OK",1,0)</f>
        <v>1</v>
      </c>
      <c r="AF114" s="48">
        <f t="shared" si="265"/>
        <v>1</v>
      </c>
      <c r="AG114" s="48">
        <f t="shared" si="265"/>
        <v>1</v>
      </c>
      <c r="AH114" s="48">
        <f t="shared" ref="AH114:AH117" si="266">SUM(AE114:AG114)</f>
        <v>3</v>
      </c>
      <c r="AI114" s="46">
        <f t="shared" ref="AI114:AI117" si="267">IF(AH114=3,2*$B$7+U114,0)</f>
        <v>0.64500000000000002</v>
      </c>
      <c r="AJ114" s="20">
        <f>IF(AI114&gt;0,I114*VLOOKUP(T114,'$ alcantarillado'!$I$6:$K$22,3),0)</f>
        <v>1912173.3333333335</v>
      </c>
      <c r="AK114" s="20">
        <f t="shared" si="211"/>
        <v>3963654.0000000042</v>
      </c>
      <c r="AL114" s="20">
        <f t="shared" si="212"/>
        <v>1724013.0700000019</v>
      </c>
      <c r="AM114" s="20">
        <f t="shared" si="226"/>
        <v>7599840.4033333398</v>
      </c>
      <c r="AN114" s="50">
        <f>+AP78</f>
        <v>0</v>
      </c>
      <c r="AO114" s="78" t="str">
        <f t="shared" si="82"/>
        <v/>
      </c>
      <c r="AP114" s="214"/>
      <c r="AQ114" s="2"/>
      <c r="AR114" s="9"/>
    </row>
    <row r="115" spans="1:44" x14ac:dyDescent="0.25">
      <c r="A115" s="211"/>
      <c r="B115" s="211"/>
      <c r="C115" s="211"/>
      <c r="D115" s="211"/>
      <c r="E115" s="56">
        <v>3</v>
      </c>
      <c r="F115" s="35">
        <f>+H83</f>
        <v>46.64</v>
      </c>
      <c r="G115" s="56">
        <v>4</v>
      </c>
      <c r="H115" s="15">
        <f t="shared" ref="H115:I116" si="268">+H114</f>
        <v>45.64</v>
      </c>
      <c r="I115" s="2">
        <f t="shared" si="268"/>
        <v>80</v>
      </c>
      <c r="J115" s="18">
        <f t="shared" si="214"/>
        <v>1.2500000000000001E-2</v>
      </c>
      <c r="K115" s="2">
        <f t="shared" ref="K115:K116" si="269">+K114</f>
        <v>1281</v>
      </c>
      <c r="L115" s="15">
        <f t="shared" si="215"/>
        <v>15.573399999999999</v>
      </c>
      <c r="M115" s="33">
        <f t="shared" si="258"/>
        <v>1.5573399999999999E-2</v>
      </c>
      <c r="N115" s="33">
        <f t="shared" si="176"/>
        <v>0.13147084501519965</v>
      </c>
      <c r="O115" s="33">
        <f t="shared" si="177"/>
        <v>5.1760175202834509</v>
      </c>
      <c r="P115" s="58">
        <f t="shared" si="182"/>
        <v>6</v>
      </c>
      <c r="Q115" s="55">
        <f>IF(O115&gt;0,VLOOKUP(P115,'$ alcantarillado'!$I$5:$L$22,4,FALSE),"0")</f>
        <v>0.14499999999999999</v>
      </c>
      <c r="R115" s="55">
        <f t="shared" si="178"/>
        <v>2.0221788616147186E-2</v>
      </c>
      <c r="S115" s="35">
        <f t="shared" si="179"/>
        <v>0.77012969997938618</v>
      </c>
      <c r="T115" s="58">
        <f>+IF(S115&gt;$B$13,VLOOKUP(P115,'$ alcantarillado'!$I$6:$N$22,5),P115)</f>
        <v>6</v>
      </c>
      <c r="U115" s="55">
        <f>IF(O115&gt;0,VLOOKUP(T115,'$ alcantarillado'!$I$5:$L$22,4),"0")</f>
        <v>0.14499999999999999</v>
      </c>
      <c r="V115" s="55">
        <f t="shared" si="180"/>
        <v>2.0221788616147186E-2</v>
      </c>
      <c r="W115" s="35">
        <f t="shared" si="181"/>
        <v>0.77012969997938618</v>
      </c>
      <c r="X115" s="35">
        <f t="shared" si="259"/>
        <v>1.2245983796125537</v>
      </c>
      <c r="Y115" s="55">
        <f>IF(T115&gt;0,(VLOOKUP($W115,Relaciones!$A$4:$D$108,2)),"")</f>
        <v>0.97199999999999998</v>
      </c>
      <c r="Z115" s="35">
        <f t="shared" si="260"/>
        <v>1.1903096249834022</v>
      </c>
      <c r="AA115" s="35">
        <f t="shared" si="261"/>
        <v>0.453125</v>
      </c>
      <c r="AB115" s="46" t="str">
        <f t="shared" si="262"/>
        <v>OK</v>
      </c>
      <c r="AC115" s="46" t="str">
        <f t="shared" si="263"/>
        <v>OK</v>
      </c>
      <c r="AD115" s="46" t="str">
        <f t="shared" si="264"/>
        <v>OK</v>
      </c>
      <c r="AE115" s="48">
        <f t="shared" si="265"/>
        <v>1</v>
      </c>
      <c r="AF115" s="48">
        <f t="shared" si="265"/>
        <v>1</v>
      </c>
      <c r="AG115" s="48">
        <f t="shared" si="265"/>
        <v>1</v>
      </c>
      <c r="AH115" s="48">
        <f t="shared" si="266"/>
        <v>3</v>
      </c>
      <c r="AI115" s="46">
        <f t="shared" si="267"/>
        <v>0.64500000000000002</v>
      </c>
      <c r="AJ115" s="20">
        <f>IF(AI115&gt;0,I115*VLOOKUP(T115,'$ alcantarillado'!$I$6:$K$22,3),0)</f>
        <v>1912173.3333333335</v>
      </c>
      <c r="AK115" s="20">
        <f t="shared" si="211"/>
        <v>4079754.0000000047</v>
      </c>
      <c r="AL115" s="20">
        <f t="shared" si="212"/>
        <v>1811260.6950000019</v>
      </c>
      <c r="AM115" s="20">
        <f t="shared" si="226"/>
        <v>7803188.0283333398</v>
      </c>
      <c r="AN115" s="80">
        <f>+AP83</f>
        <v>30826877.427666694</v>
      </c>
      <c r="AO115" s="78">
        <f t="shared" ref="AO115:AO117" si="270">IF((AM115)&gt;0,IF(AN115&gt;0,AM115+AN115,""),"")</f>
        <v>38630065.45600003</v>
      </c>
      <c r="AP115" s="215"/>
      <c r="AQ115" s="2">
        <v>3</v>
      </c>
      <c r="AR115" s="9">
        <v>4</v>
      </c>
    </row>
    <row r="116" spans="1:44" x14ac:dyDescent="0.25">
      <c r="A116" s="211"/>
      <c r="B116" s="211"/>
      <c r="C116" s="211"/>
      <c r="D116" s="211"/>
      <c r="E116" s="56">
        <v>4</v>
      </c>
      <c r="F116" s="35">
        <f>+H88</f>
        <v>46.515000000000001</v>
      </c>
      <c r="G116" s="56">
        <v>4</v>
      </c>
      <c r="H116" s="15">
        <f t="shared" si="268"/>
        <v>45.64</v>
      </c>
      <c r="I116" s="2">
        <f t="shared" si="268"/>
        <v>80</v>
      </c>
      <c r="J116" s="18">
        <f>+(F116-H116)/I116</f>
        <v>1.0937499999999999E-2</v>
      </c>
      <c r="K116" s="2">
        <f t="shared" si="269"/>
        <v>1281</v>
      </c>
      <c r="L116" s="15">
        <f t="shared" si="215"/>
        <v>15.573399999999999</v>
      </c>
      <c r="M116" s="33">
        <f t="shared" si="258"/>
        <v>1.5573399999999999E-2</v>
      </c>
      <c r="N116" s="33">
        <f t="shared" si="176"/>
        <v>0.13480405130829018</v>
      </c>
      <c r="O116" s="33">
        <f t="shared" si="177"/>
        <v>5.3072461144996135</v>
      </c>
      <c r="P116" s="58">
        <f t="shared" si="182"/>
        <v>6</v>
      </c>
      <c r="Q116" s="55">
        <f>IF(O116&gt;0,VLOOKUP(P116,'$ alcantarillado'!$I$5:$L$22,4,FALSE),"0")</f>
        <v>0.14499999999999999</v>
      </c>
      <c r="R116" s="55">
        <f t="shared" si="178"/>
        <v>1.8915751187347084E-2</v>
      </c>
      <c r="S116" s="35">
        <f t="shared" si="179"/>
        <v>0.823303280200534</v>
      </c>
      <c r="T116" s="58">
        <f>+IF(S116&gt;$B$13,VLOOKUP(P116,'$ alcantarillado'!$I$6:$N$22,5),P116)</f>
        <v>6</v>
      </c>
      <c r="U116" s="55">
        <f>IF(O116&gt;0,VLOOKUP(T116,'$ alcantarillado'!$I$5:$L$22,4),"0")</f>
        <v>0.14499999999999999</v>
      </c>
      <c r="V116" s="55">
        <f t="shared" si="180"/>
        <v>1.8915751187347084E-2</v>
      </c>
      <c r="W116" s="35">
        <f t="shared" si="181"/>
        <v>0.823303280200534</v>
      </c>
      <c r="X116" s="35">
        <f t="shared" si="259"/>
        <v>1.1455068932271779</v>
      </c>
      <c r="Y116" s="55">
        <f>IF(T116&gt;0,(VLOOKUP($W116,Relaciones!$A$4:$D$108,2)),"")</f>
        <v>0.99</v>
      </c>
      <c r="Z116" s="35">
        <f t="shared" si="260"/>
        <v>1.134051824294906</v>
      </c>
      <c r="AA116" s="35">
        <f t="shared" si="261"/>
        <v>0.396484375</v>
      </c>
      <c r="AB116" s="46" t="str">
        <f t="shared" si="262"/>
        <v>OK</v>
      </c>
      <c r="AC116" s="46" t="str">
        <f t="shared" si="263"/>
        <v>OK</v>
      </c>
      <c r="AD116" s="46" t="str">
        <f t="shared" si="264"/>
        <v>OK</v>
      </c>
      <c r="AE116" s="48">
        <f t="shared" si="265"/>
        <v>1</v>
      </c>
      <c r="AF116" s="48">
        <f t="shared" si="265"/>
        <v>1</v>
      </c>
      <c r="AG116" s="48">
        <f t="shared" si="265"/>
        <v>1</v>
      </c>
      <c r="AH116" s="48">
        <f t="shared" si="266"/>
        <v>3</v>
      </c>
      <c r="AI116" s="46">
        <f t="shared" si="267"/>
        <v>0.64500000000000002</v>
      </c>
      <c r="AJ116" s="20">
        <f>IF(AI116&gt;0,I116*VLOOKUP(T116,'$ alcantarillado'!$I$6:$K$22,3),0)</f>
        <v>1912173.3333333335</v>
      </c>
      <c r="AK116" s="20">
        <f t="shared" si="211"/>
        <v>4195854.0000000047</v>
      </c>
      <c r="AL116" s="20">
        <f t="shared" si="212"/>
        <v>1898508.3200000019</v>
      </c>
      <c r="AM116" s="20">
        <f t="shared" si="226"/>
        <v>8006535.6533333398</v>
      </c>
      <c r="AN116" s="50">
        <f>+AP88</f>
        <v>30888257.427666694</v>
      </c>
      <c r="AO116" s="78">
        <f t="shared" si="270"/>
        <v>38894793.08100003</v>
      </c>
      <c r="AP116" s="215"/>
      <c r="AQ116" s="2"/>
      <c r="AR116" s="9"/>
    </row>
    <row r="117" spans="1:44" ht="15.75" thickBot="1" x14ac:dyDescent="0.3">
      <c r="A117" s="211"/>
      <c r="B117" s="211"/>
      <c r="C117" s="211"/>
      <c r="D117" s="211"/>
      <c r="E117" s="6">
        <v>5</v>
      </c>
      <c r="F117" s="65">
        <f>+H93</f>
        <v>46.39</v>
      </c>
      <c r="G117" s="6">
        <v>4</v>
      </c>
      <c r="H117" s="16">
        <f>+H116</f>
        <v>45.64</v>
      </c>
      <c r="I117" s="10">
        <f>+I116</f>
        <v>80</v>
      </c>
      <c r="J117" s="19">
        <f t="shared" si="214"/>
        <v>9.3749999999999997E-3</v>
      </c>
      <c r="K117" s="10">
        <f>+K116</f>
        <v>1281</v>
      </c>
      <c r="L117" s="16">
        <f t="shared" si="215"/>
        <v>15.573399999999999</v>
      </c>
      <c r="M117" s="34">
        <f t="shared" si="258"/>
        <v>1.5573399999999999E-2</v>
      </c>
      <c r="N117" s="34">
        <f t="shared" si="176"/>
        <v>0.13875718078738841</v>
      </c>
      <c r="O117" s="34">
        <f t="shared" si="177"/>
        <v>5.4628811333617486</v>
      </c>
      <c r="P117" s="59">
        <f t="shared" si="182"/>
        <v>6</v>
      </c>
      <c r="Q117" s="55">
        <f>IF(O117&gt;0,VLOOKUP(P117,'$ alcantarillado'!$I$5:$L$22,4,FALSE),"0")</f>
        <v>0.14499999999999999</v>
      </c>
      <c r="R117" s="47">
        <f t="shared" si="178"/>
        <v>1.7512582651542437E-2</v>
      </c>
      <c r="S117" s="35">
        <f t="shared" si="179"/>
        <v>0.88926917918804838</v>
      </c>
      <c r="T117" s="58">
        <f>+IF(S117&gt;$B$13,VLOOKUP(P117,'$ alcantarillado'!$I$6:$N$22,5),P117)</f>
        <v>8</v>
      </c>
      <c r="U117" s="55">
        <f>IF(O117&gt;0,VLOOKUP(T117,'$ alcantarillado'!$I$5:$L$22,4),"0")</f>
        <v>0.182</v>
      </c>
      <c r="V117" s="55">
        <f t="shared" si="180"/>
        <v>3.2104005907504223E-2</v>
      </c>
      <c r="W117" s="35">
        <f t="shared" si="181"/>
        <v>0.48509211108635386</v>
      </c>
      <c r="X117" s="35">
        <f t="shared" si="259"/>
        <v>1.2340324195702708</v>
      </c>
      <c r="Y117" s="55">
        <f>IF(T117&gt;0,(VLOOKUP($W117,Relaciones!$A$4:$D$108,2)),"")</f>
        <v>0.84</v>
      </c>
      <c r="Z117" s="35">
        <f t="shared" si="260"/>
        <v>1.0365872324390275</v>
      </c>
      <c r="AA117" s="35">
        <f t="shared" si="261"/>
        <v>0.42656250000000001</v>
      </c>
      <c r="AB117" s="46" t="str">
        <f t="shared" si="262"/>
        <v>OK</v>
      </c>
      <c r="AC117" s="46" t="str">
        <f t="shared" si="263"/>
        <v>OK</v>
      </c>
      <c r="AD117" s="46" t="str">
        <f t="shared" si="264"/>
        <v>OK</v>
      </c>
      <c r="AE117" s="48">
        <f t="shared" si="265"/>
        <v>1</v>
      </c>
      <c r="AF117" s="48">
        <f t="shared" si="265"/>
        <v>1</v>
      </c>
      <c r="AG117" s="48">
        <f t="shared" si="265"/>
        <v>1</v>
      </c>
      <c r="AH117" s="48">
        <f t="shared" si="266"/>
        <v>3</v>
      </c>
      <c r="AI117" s="46">
        <f t="shared" si="267"/>
        <v>0.68199999999999994</v>
      </c>
      <c r="AJ117" s="22">
        <f>IF(AI117&gt;0,I117*VLOOKUP(T117,'$ alcantarillado'!$I$6:$K$22,3),0)</f>
        <v>2654586.666666667</v>
      </c>
      <c r="AK117" s="20">
        <f t="shared" si="211"/>
        <v>4613811.8400000045</v>
      </c>
      <c r="AL117" s="20">
        <f t="shared" si="212"/>
        <v>2011581.2420000019</v>
      </c>
      <c r="AM117" s="22">
        <f t="shared" si="226"/>
        <v>9279979.7486666739</v>
      </c>
      <c r="AN117" s="51">
        <f>+AP93</f>
        <v>30949637.427666698</v>
      </c>
      <c r="AO117" s="79">
        <f t="shared" si="270"/>
        <v>40229617.176333368</v>
      </c>
      <c r="AP117" s="216"/>
      <c r="AQ117" s="10"/>
      <c r="AR117" s="11"/>
    </row>
    <row r="118" spans="1:44" x14ac:dyDescent="0.25">
      <c r="A118" s="211"/>
      <c r="B118" s="211"/>
      <c r="C118" s="211"/>
      <c r="D118" s="211"/>
      <c r="E118" s="4">
        <v>1</v>
      </c>
      <c r="F118" s="27">
        <f>+H73</f>
        <v>46.89</v>
      </c>
      <c r="G118" s="4">
        <v>5</v>
      </c>
      <c r="H118" s="14">
        <f>+H108-2*$B$15</f>
        <v>45.515000000000001</v>
      </c>
      <c r="I118" s="12">
        <f>+I113</f>
        <v>80</v>
      </c>
      <c r="J118" s="18">
        <f>+(F118-H118)/I118</f>
        <v>1.7187500000000001E-2</v>
      </c>
      <c r="K118" s="12">
        <f>+K113</f>
        <v>1281</v>
      </c>
      <c r="L118" s="14">
        <f>IF(K118&lt;38,K118^0.3686*0.7401,IF(K118&lt;235,K118^0.4193*0.6215,IF(K118&lt;932,K118*0.0092+4.2493,K118*0.0069+6.7345)))</f>
        <v>15.573399999999999</v>
      </c>
      <c r="M118" s="31">
        <f>+L118/1000</f>
        <v>1.5573399999999999E-2</v>
      </c>
      <c r="N118" s="31">
        <f t="shared" si="176"/>
        <v>0.12385048123313877</v>
      </c>
      <c r="O118" s="31">
        <f t="shared" si="177"/>
        <v>4.87600319815507</v>
      </c>
      <c r="P118" s="57">
        <f t="shared" si="182"/>
        <v>6</v>
      </c>
      <c r="Q118" s="60">
        <f>IF(O118&gt;0,VLOOKUP(P118,'$ alcantarillado'!$I$5:$L$22,4,FALSE),"0")</f>
        <v>0.14499999999999999</v>
      </c>
      <c r="R118" s="60">
        <f t="shared" si="178"/>
        <v>2.3712149004248704E-2</v>
      </c>
      <c r="S118" s="27">
        <f t="shared" si="179"/>
        <v>0.65676881488934569</v>
      </c>
      <c r="T118" s="57">
        <f>+IF(S118&gt;$B$13,VLOOKUP(P118,'$ alcantarillado'!$I$6:$N$22,5),P118)</f>
        <v>6</v>
      </c>
      <c r="U118" s="60">
        <f>IF(O118&gt;0,VLOOKUP(T118,'$ alcantarillado'!$I$5:$L$22,4),"0")</f>
        <v>0.14499999999999999</v>
      </c>
      <c r="V118" s="60">
        <f t="shared" si="180"/>
        <v>2.3712149004248704E-2</v>
      </c>
      <c r="W118" s="27">
        <f t="shared" si="181"/>
        <v>0.65676881488934569</v>
      </c>
      <c r="X118" s="27">
        <f>IF(T118&gt;0,4*V118/(PI()*(U118)^2),"")</f>
        <v>1.4359688847972396</v>
      </c>
      <c r="Y118" s="60">
        <f>IF(T118&gt;0,(VLOOKUP($W118,Relaciones!$A$4:$D$108,2)),"")</f>
        <v>0.92200000000000004</v>
      </c>
      <c r="Z118" s="27">
        <f>IF(T118&gt;0,Y118*X118,"")</f>
        <v>1.3239633117830549</v>
      </c>
      <c r="AA118" s="27">
        <f>IF(T118&gt;0,250*U118*J118,"")</f>
        <v>0.623046875</v>
      </c>
      <c r="AB118" s="45" t="str">
        <f>IF(T118&gt;0,IF(W118&lt;=$B$13,"OK","No Cumple"),"")</f>
        <v>OK</v>
      </c>
      <c r="AC118" s="45" t="str">
        <f>IF(T118&gt;0,IF(Z118&gt;=$B$12,"OK","No Cumple"),"")</f>
        <v>OK</v>
      </c>
      <c r="AD118" s="45" t="str">
        <f>IF(T118&gt;0,IF(AA118&gt;$B$14,"OK","No Cumple"),"")</f>
        <v>OK</v>
      </c>
      <c r="AE118" s="32">
        <f>+IF(AB118="OK",1,0)</f>
        <v>1</v>
      </c>
      <c r="AF118" s="32">
        <f>+IF(AC118="OK",1,0)</f>
        <v>1</v>
      </c>
      <c r="AG118" s="32">
        <f>+IF(AD118="OK",1,0)</f>
        <v>1</v>
      </c>
      <c r="AH118" s="32">
        <f>SUM(AE118:AG118)</f>
        <v>3</v>
      </c>
      <c r="AI118" s="45">
        <f>IF(AH118=3,2*$B$7+U118,0)</f>
        <v>0.64500000000000002</v>
      </c>
      <c r="AJ118" s="21">
        <f>IF(AI118&gt;0,I118*VLOOKUP(T118,'$ alcantarillado'!$I$6:$K$22,3),0)</f>
        <v>1912173.3333333335</v>
      </c>
      <c r="AK118" s="61">
        <f t="shared" si="211"/>
        <v>3905604.0000000042</v>
      </c>
      <c r="AL118" s="61">
        <f t="shared" si="212"/>
        <v>1636765.4450000019</v>
      </c>
      <c r="AM118" s="21">
        <f>IF(AJ118&gt;0,AJ118+AK118+AL118,0)</f>
        <v>7454542.7783333398</v>
      </c>
      <c r="AN118" s="49">
        <f>IF(AP73&gt;0,+AP73,0)</f>
        <v>0</v>
      </c>
      <c r="AO118" s="77" t="str">
        <f>IF((AM118)&gt;0,IF(AN118&gt;0,AM118+AN118,""),"")</f>
        <v/>
      </c>
      <c r="AP118" s="213">
        <f t="shared" ref="AP118" si="271">+MIN(AO118:AO122)</f>
        <v>38688115.45600003</v>
      </c>
      <c r="AQ118" s="2"/>
      <c r="AR118" s="9"/>
    </row>
    <row r="119" spans="1:44" x14ac:dyDescent="0.25">
      <c r="A119" s="211"/>
      <c r="B119" s="211"/>
      <c r="C119" s="211"/>
      <c r="D119" s="211"/>
      <c r="E119" s="5">
        <v>2</v>
      </c>
      <c r="F119" s="35">
        <f>+H78</f>
        <v>46.765000000000001</v>
      </c>
      <c r="G119" s="5">
        <v>5</v>
      </c>
      <c r="H119" s="15">
        <f>+H118</f>
        <v>45.515000000000001</v>
      </c>
      <c r="I119" s="2">
        <f>+I118</f>
        <v>80</v>
      </c>
      <c r="J119" s="18">
        <f t="shared" si="214"/>
        <v>1.5625E-2</v>
      </c>
      <c r="K119" s="2">
        <f>+K118</f>
        <v>1281</v>
      </c>
      <c r="L119" s="15">
        <f t="shared" si="215"/>
        <v>15.573399999999999</v>
      </c>
      <c r="M119" s="33">
        <f t="shared" ref="M119:M122" si="272">+L119/1000</f>
        <v>1.5573399999999999E-2</v>
      </c>
      <c r="N119" s="33">
        <f t="shared" si="176"/>
        <v>0.12608366572140306</v>
      </c>
      <c r="O119" s="33">
        <f t="shared" si="177"/>
        <v>4.9639238472993332</v>
      </c>
      <c r="P119" s="58">
        <f t="shared" si="182"/>
        <v>6</v>
      </c>
      <c r="Q119" s="55">
        <f>IF(O119&gt;0,VLOOKUP(P119,'$ alcantarillado'!$I$5:$L$22,4,FALSE),"0")</f>
        <v>0.14499999999999999</v>
      </c>
      <c r="R119" s="55">
        <f t="shared" si="178"/>
        <v>2.2608646986168258E-2</v>
      </c>
      <c r="S119" s="35">
        <f t="shared" si="179"/>
        <v>0.68882494425817031</v>
      </c>
      <c r="T119" s="58">
        <f>+IF(S119&gt;$B$13,VLOOKUP(P119,'$ alcantarillado'!$I$6:$N$22,5),P119)</f>
        <v>6</v>
      </c>
      <c r="U119" s="55">
        <f>IF(O119&gt;0,VLOOKUP(T119,'$ alcantarillado'!$I$5:$L$22,4),"0")</f>
        <v>0.14499999999999999</v>
      </c>
      <c r="V119" s="55">
        <f t="shared" si="180"/>
        <v>2.2608646986168258E-2</v>
      </c>
      <c r="W119" s="35">
        <f t="shared" ref="W119:W147" si="273">IF(T119&gt;0,M119/V119,0)</f>
        <v>0.68882494425817031</v>
      </c>
      <c r="X119" s="35">
        <f t="shared" ref="X119:X122" si="274">IF(T119&gt;0,4*V119/(PI()*(U119)^2),"")</f>
        <v>1.3691426109748814</v>
      </c>
      <c r="Y119" s="55">
        <f>IF(T119&gt;0,(VLOOKUP($W119,Relaciones!$A$4:$D$108,2)),"")</f>
        <v>0.93600000000000005</v>
      </c>
      <c r="Z119" s="35">
        <f t="shared" ref="Z119:Z122" si="275">IF(T119&gt;0,Y119*X119,"")</f>
        <v>1.2815174838724892</v>
      </c>
      <c r="AA119" s="35">
        <f t="shared" ref="AA119:AA122" si="276">IF(T119&gt;0,250*U119*J119,"")</f>
        <v>0.56640625</v>
      </c>
      <c r="AB119" s="46" t="str">
        <f t="shared" ref="AB119:AB122" si="277">IF(T119&gt;0,IF(W119&lt;=$B$13,"OK","No Cumple"),"")</f>
        <v>OK</v>
      </c>
      <c r="AC119" s="46" t="str">
        <f t="shared" ref="AC119:AC122" si="278">IF(T119&gt;0,IF(Z119&gt;=$B$12,"OK","No Cumple"),"")</f>
        <v>OK</v>
      </c>
      <c r="AD119" s="46" t="str">
        <f t="shared" ref="AD119:AD122" si="279">IF(T119&gt;0,IF(AA119&gt;$B$14,"OK","No Cumple"),"")</f>
        <v>OK</v>
      </c>
      <c r="AE119" s="48">
        <f t="shared" ref="AE119:AG122" si="280">+IF(AB119="OK",1,0)</f>
        <v>1</v>
      </c>
      <c r="AF119" s="48">
        <f t="shared" si="280"/>
        <v>1</v>
      </c>
      <c r="AG119" s="48">
        <f t="shared" si="280"/>
        <v>1</v>
      </c>
      <c r="AH119" s="48">
        <f t="shared" ref="AH119:AH122" si="281">SUM(AE119:AG119)</f>
        <v>3</v>
      </c>
      <c r="AI119" s="46">
        <f t="shared" ref="AI119:AI122" si="282">IF(AH119=3,2*$B$7+U119,0)</f>
        <v>0.64500000000000002</v>
      </c>
      <c r="AJ119" s="20">
        <f>IF(AI119&gt;0,I119*VLOOKUP(T119,'$ alcantarillado'!$I$6:$K$22,3),0)</f>
        <v>1912173.3333333335</v>
      </c>
      <c r="AK119" s="20">
        <f t="shared" si="211"/>
        <v>4021704.0000000047</v>
      </c>
      <c r="AL119" s="20">
        <f t="shared" si="212"/>
        <v>1724013.0700000019</v>
      </c>
      <c r="AM119" s="20">
        <f t="shared" si="226"/>
        <v>7657890.4033333398</v>
      </c>
      <c r="AN119" s="50">
        <f>+AP78</f>
        <v>0</v>
      </c>
      <c r="AO119" s="78" t="str">
        <f t="shared" ref="AO119:AO122" si="283">IF((AM119)&gt;0,IF(AN119&gt;0,AM119+AN119,""),"")</f>
        <v/>
      </c>
      <c r="AP119" s="214"/>
      <c r="AQ119" s="2"/>
      <c r="AR119" s="9"/>
    </row>
    <row r="120" spans="1:44" x14ac:dyDescent="0.25">
      <c r="A120" s="211"/>
      <c r="B120" s="211"/>
      <c r="C120" s="211"/>
      <c r="D120" s="211"/>
      <c r="E120" s="56">
        <v>3</v>
      </c>
      <c r="F120" s="35">
        <f>+H83</f>
        <v>46.64</v>
      </c>
      <c r="G120" s="56">
        <v>5</v>
      </c>
      <c r="H120" s="15">
        <f t="shared" ref="H120:I121" si="284">+H119</f>
        <v>45.515000000000001</v>
      </c>
      <c r="I120" s="2">
        <f t="shared" si="284"/>
        <v>80</v>
      </c>
      <c r="J120" s="18">
        <f t="shared" si="214"/>
        <v>1.40625E-2</v>
      </c>
      <c r="K120" s="2">
        <f t="shared" ref="K120:K121" si="285">+K119</f>
        <v>1281</v>
      </c>
      <c r="L120" s="15">
        <f t="shared" si="215"/>
        <v>15.573399999999999</v>
      </c>
      <c r="M120" s="33">
        <f t="shared" si="272"/>
        <v>1.5573399999999999E-2</v>
      </c>
      <c r="N120" s="33">
        <f t="shared" si="176"/>
        <v>0.12859922649084177</v>
      </c>
      <c r="O120" s="33">
        <f t="shared" si="177"/>
        <v>5.062961672867786</v>
      </c>
      <c r="P120" s="58">
        <f>IF(O120&lt;0.1,0,IF(O120&lt;4,6,EVEN(O120)))</f>
        <v>6</v>
      </c>
      <c r="Q120" s="55">
        <f>IF(O120&gt;0,VLOOKUP(P120,'$ alcantarillado'!$I$5:$L$22,4,FALSE),"0")</f>
        <v>0.14499999999999999</v>
      </c>
      <c r="R120" s="55">
        <f t="shared" si="178"/>
        <v>2.1448445787297914E-2</v>
      </c>
      <c r="S120" s="35">
        <f t="shared" si="179"/>
        <v>0.72608524433144694</v>
      </c>
      <c r="T120" s="58">
        <f>+IF(S120&gt;$B$13,VLOOKUP(P120,'$ alcantarillado'!$I$6:$N$22,5),P120)</f>
        <v>6</v>
      </c>
      <c r="U120" s="55">
        <f>IF(O120&gt;0,VLOOKUP(T120,'$ alcantarillado'!$I$5:$L$22,4),"0")</f>
        <v>0.14499999999999999</v>
      </c>
      <c r="V120" s="55">
        <f t="shared" si="180"/>
        <v>2.1448445787297914E-2</v>
      </c>
      <c r="W120" s="35">
        <f t="shared" si="273"/>
        <v>0.72608524433144694</v>
      </c>
      <c r="X120" s="35">
        <f t="shared" si="274"/>
        <v>1.2988827276811423</v>
      </c>
      <c r="Y120" s="55">
        <f>IF(T120&gt;0,(VLOOKUP($W120,Relaciones!$A$4:$D$108,2)),"")</f>
        <v>0.95499999999999996</v>
      </c>
      <c r="Z120" s="35">
        <f t="shared" si="275"/>
        <v>1.2404330049354908</v>
      </c>
      <c r="AA120" s="35">
        <f t="shared" si="276"/>
        <v>0.509765625</v>
      </c>
      <c r="AB120" s="46" t="str">
        <f t="shared" si="277"/>
        <v>OK</v>
      </c>
      <c r="AC120" s="46" t="str">
        <f t="shared" si="278"/>
        <v>OK</v>
      </c>
      <c r="AD120" s="46" t="str">
        <f t="shared" si="279"/>
        <v>OK</v>
      </c>
      <c r="AE120" s="48">
        <f t="shared" si="280"/>
        <v>1</v>
      </c>
      <c r="AF120" s="48">
        <f t="shared" si="280"/>
        <v>1</v>
      </c>
      <c r="AG120" s="48">
        <f t="shared" si="280"/>
        <v>1</v>
      </c>
      <c r="AH120" s="48">
        <f t="shared" si="281"/>
        <v>3</v>
      </c>
      <c r="AI120" s="46">
        <f t="shared" si="282"/>
        <v>0.64500000000000002</v>
      </c>
      <c r="AJ120" s="20">
        <f>IF(AI120&gt;0,I120*VLOOKUP(T120,'$ alcantarillado'!$I$6:$K$22,3),0)</f>
        <v>1912173.3333333335</v>
      </c>
      <c r="AK120" s="20">
        <f t="shared" si="211"/>
        <v>4137804.0000000042</v>
      </c>
      <c r="AL120" s="20">
        <f t="shared" si="212"/>
        <v>1811260.6950000019</v>
      </c>
      <c r="AM120" s="20">
        <f t="shared" si="226"/>
        <v>7861238.0283333398</v>
      </c>
      <c r="AN120" s="50">
        <f>+AP83</f>
        <v>30826877.427666694</v>
      </c>
      <c r="AO120" s="78">
        <f t="shared" si="283"/>
        <v>38688115.45600003</v>
      </c>
      <c r="AP120" s="215"/>
      <c r="AQ120" s="2">
        <v>3</v>
      </c>
      <c r="AR120" s="9">
        <v>5</v>
      </c>
    </row>
    <row r="121" spans="1:44" x14ac:dyDescent="0.25">
      <c r="A121" s="211"/>
      <c r="B121" s="211"/>
      <c r="C121" s="211"/>
      <c r="D121" s="211"/>
      <c r="E121" s="56">
        <v>4</v>
      </c>
      <c r="F121" s="35">
        <f>+H88</f>
        <v>46.515000000000001</v>
      </c>
      <c r="G121" s="56">
        <v>5</v>
      </c>
      <c r="H121" s="15">
        <f t="shared" si="284"/>
        <v>45.515000000000001</v>
      </c>
      <c r="I121" s="2">
        <f t="shared" si="284"/>
        <v>80</v>
      </c>
      <c r="J121" s="18">
        <f>+(F121-H121)/I121</f>
        <v>1.2500000000000001E-2</v>
      </c>
      <c r="K121" s="2">
        <f t="shared" si="285"/>
        <v>1281</v>
      </c>
      <c r="L121" s="15">
        <f t="shared" si="215"/>
        <v>15.573399999999999</v>
      </c>
      <c r="M121" s="33">
        <f t="shared" si="272"/>
        <v>1.5573399999999999E-2</v>
      </c>
      <c r="N121" s="33">
        <f t="shared" si="176"/>
        <v>0.13147084501519965</v>
      </c>
      <c r="O121" s="33">
        <f t="shared" si="177"/>
        <v>5.1760175202834509</v>
      </c>
      <c r="P121" s="58">
        <f t="shared" si="182"/>
        <v>6</v>
      </c>
      <c r="Q121" s="55">
        <f>IF(O121&gt;0,VLOOKUP(P121,'$ alcantarillado'!$I$5:$L$22,4,FALSE),"0")</f>
        <v>0.14499999999999999</v>
      </c>
      <c r="R121" s="55">
        <f t="shared" si="178"/>
        <v>2.0221788616147186E-2</v>
      </c>
      <c r="S121" s="35">
        <f t="shared" si="179"/>
        <v>0.77012969997938618</v>
      </c>
      <c r="T121" s="58">
        <f>+IF(S121&gt;$B$13,VLOOKUP(P121,'$ alcantarillado'!$I$6:$N$22,5),P121)</f>
        <v>6</v>
      </c>
      <c r="U121" s="55">
        <f>IF(O121&gt;0,VLOOKUP(T121,'$ alcantarillado'!$I$5:$L$22,4),"0")</f>
        <v>0.14499999999999999</v>
      </c>
      <c r="V121" s="55">
        <f t="shared" si="180"/>
        <v>2.0221788616147186E-2</v>
      </c>
      <c r="W121" s="35">
        <f t="shared" si="273"/>
        <v>0.77012969997938618</v>
      </c>
      <c r="X121" s="35">
        <f t="shared" si="274"/>
        <v>1.2245983796125537</v>
      </c>
      <c r="Y121" s="55">
        <f>IF(T121&gt;0,(VLOOKUP($W121,Relaciones!$A$4:$D$108,2)),"")</f>
        <v>0.97199999999999998</v>
      </c>
      <c r="Z121" s="35">
        <f t="shared" si="275"/>
        <v>1.1903096249834022</v>
      </c>
      <c r="AA121" s="35">
        <f t="shared" si="276"/>
        <v>0.453125</v>
      </c>
      <c r="AB121" s="46" t="str">
        <f t="shared" si="277"/>
        <v>OK</v>
      </c>
      <c r="AC121" s="46" t="str">
        <f t="shared" si="278"/>
        <v>OK</v>
      </c>
      <c r="AD121" s="46" t="str">
        <f t="shared" si="279"/>
        <v>OK</v>
      </c>
      <c r="AE121" s="48">
        <f t="shared" si="280"/>
        <v>1</v>
      </c>
      <c r="AF121" s="48">
        <f t="shared" si="280"/>
        <v>1</v>
      </c>
      <c r="AG121" s="48">
        <f t="shared" si="280"/>
        <v>1</v>
      </c>
      <c r="AH121" s="48">
        <f t="shared" si="281"/>
        <v>3</v>
      </c>
      <c r="AI121" s="46">
        <f t="shared" si="282"/>
        <v>0.64500000000000002</v>
      </c>
      <c r="AJ121" s="20">
        <f>IF(AI121&gt;0,I121*VLOOKUP(T121,'$ alcantarillado'!$I$6:$K$22,3),0)</f>
        <v>1912173.3333333335</v>
      </c>
      <c r="AK121" s="20">
        <f t="shared" si="211"/>
        <v>4253904.0000000047</v>
      </c>
      <c r="AL121" s="20">
        <f t="shared" si="212"/>
        <v>1898508.3200000019</v>
      </c>
      <c r="AM121" s="20">
        <f t="shared" si="226"/>
        <v>8064585.6533333398</v>
      </c>
      <c r="AN121" s="50">
        <f>+AP88</f>
        <v>30888257.427666694</v>
      </c>
      <c r="AO121" s="78">
        <f t="shared" si="283"/>
        <v>38952843.08100003</v>
      </c>
      <c r="AP121" s="215"/>
      <c r="AQ121" s="2"/>
      <c r="AR121" s="9"/>
    </row>
    <row r="122" spans="1:44" ht="15.75" thickBot="1" x14ac:dyDescent="0.3">
      <c r="A122" s="212"/>
      <c r="B122" s="212"/>
      <c r="C122" s="212"/>
      <c r="D122" s="212"/>
      <c r="E122" s="6">
        <v>5</v>
      </c>
      <c r="F122" s="65">
        <f>+H93</f>
        <v>46.39</v>
      </c>
      <c r="G122" s="6">
        <v>5</v>
      </c>
      <c r="H122" s="16">
        <f>+H121</f>
        <v>45.515000000000001</v>
      </c>
      <c r="I122" s="10">
        <f>+I121</f>
        <v>80</v>
      </c>
      <c r="J122" s="19">
        <f t="shared" si="214"/>
        <v>1.0937499999999999E-2</v>
      </c>
      <c r="K122" s="10">
        <f>+K121</f>
        <v>1281</v>
      </c>
      <c r="L122" s="16">
        <f t="shared" si="215"/>
        <v>15.573399999999999</v>
      </c>
      <c r="M122" s="34">
        <f t="shared" si="272"/>
        <v>1.5573399999999999E-2</v>
      </c>
      <c r="N122" s="34">
        <f t="shared" si="176"/>
        <v>0.13480405130829018</v>
      </c>
      <c r="O122" s="34">
        <f t="shared" si="177"/>
        <v>5.3072461144996135</v>
      </c>
      <c r="P122" s="59">
        <f t="shared" si="182"/>
        <v>6</v>
      </c>
      <c r="Q122" s="55">
        <f>IF(O122&gt;0,VLOOKUP(P122,'$ alcantarillado'!$I$5:$L$22,4,FALSE),"0")</f>
        <v>0.14499999999999999</v>
      </c>
      <c r="R122" s="47">
        <f t="shared" si="178"/>
        <v>1.8915751187347084E-2</v>
      </c>
      <c r="S122" s="35">
        <f t="shared" si="179"/>
        <v>0.823303280200534</v>
      </c>
      <c r="T122" s="58">
        <f>+IF(S122&gt;$B$13,VLOOKUP(P122,'$ alcantarillado'!$I$6:$N$22,5),P122)</f>
        <v>6</v>
      </c>
      <c r="U122" s="55">
        <f>IF(O122&gt;0,VLOOKUP(T122,'$ alcantarillado'!$I$5:$L$22,4),"0")</f>
        <v>0.14499999999999999</v>
      </c>
      <c r="V122" s="55">
        <f t="shared" si="180"/>
        <v>1.8915751187347084E-2</v>
      </c>
      <c r="W122" s="35">
        <f t="shared" si="273"/>
        <v>0.823303280200534</v>
      </c>
      <c r="X122" s="35">
        <f t="shared" si="274"/>
        <v>1.1455068932271779</v>
      </c>
      <c r="Y122" s="55">
        <f>IF(T122&gt;0,(VLOOKUP($W122,Relaciones!$A$4:$D$108,2)),"")</f>
        <v>0.99</v>
      </c>
      <c r="Z122" s="35">
        <f t="shared" si="275"/>
        <v>1.134051824294906</v>
      </c>
      <c r="AA122" s="35">
        <f t="shared" si="276"/>
        <v>0.396484375</v>
      </c>
      <c r="AB122" s="46" t="str">
        <f t="shared" si="277"/>
        <v>OK</v>
      </c>
      <c r="AC122" s="46" t="str">
        <f t="shared" si="278"/>
        <v>OK</v>
      </c>
      <c r="AD122" s="46" t="str">
        <f t="shared" si="279"/>
        <v>OK</v>
      </c>
      <c r="AE122" s="48">
        <f t="shared" si="280"/>
        <v>1</v>
      </c>
      <c r="AF122" s="48">
        <f t="shared" si="280"/>
        <v>1</v>
      </c>
      <c r="AG122" s="48">
        <f t="shared" si="280"/>
        <v>1</v>
      </c>
      <c r="AH122" s="48">
        <f t="shared" si="281"/>
        <v>3</v>
      </c>
      <c r="AI122" s="46">
        <f t="shared" si="282"/>
        <v>0.64500000000000002</v>
      </c>
      <c r="AJ122" s="22">
        <f>IF(AI122&gt;0,I122*VLOOKUP(T122,'$ alcantarillado'!$I$6:$K$22,3),0)</f>
        <v>1912173.3333333335</v>
      </c>
      <c r="AK122" s="20">
        <f t="shared" si="211"/>
        <v>4370004.0000000047</v>
      </c>
      <c r="AL122" s="20">
        <f t="shared" si="212"/>
        <v>1985755.9450000019</v>
      </c>
      <c r="AM122" s="22">
        <f t="shared" si="226"/>
        <v>8267933.2783333398</v>
      </c>
      <c r="AN122" s="51">
        <f>+AP93</f>
        <v>30949637.427666698</v>
      </c>
      <c r="AO122" s="79">
        <f t="shared" si="283"/>
        <v>39217570.706000037</v>
      </c>
      <c r="AP122" s="216"/>
      <c r="AQ122" s="2"/>
      <c r="AR122" s="9"/>
    </row>
    <row r="123" spans="1:44" x14ac:dyDescent="0.25">
      <c r="A123" s="229">
        <v>5</v>
      </c>
      <c r="B123" s="229">
        <f>+C98</f>
        <v>7</v>
      </c>
      <c r="C123" s="229">
        <v>10</v>
      </c>
      <c r="D123" s="229">
        <v>49.09</v>
      </c>
      <c r="E123" s="127">
        <v>1</v>
      </c>
      <c r="F123" s="129">
        <f>+H98</f>
        <v>46.015000000000001</v>
      </c>
      <c r="G123" s="127">
        <v>1</v>
      </c>
      <c r="H123" s="136">
        <f>+H133+2*$B$15</f>
        <v>45.015000000000001</v>
      </c>
      <c r="I123" s="129">
        <v>75</v>
      </c>
      <c r="J123" s="130">
        <f>+(F123-H123)/I123</f>
        <v>1.3333333333333334E-2</v>
      </c>
      <c r="K123" s="129">
        <f>+K112+H7</f>
        <v>1460</v>
      </c>
      <c r="L123" s="132">
        <f>IF(K123&lt;38,K123^0.3686*0.7401,IF(K123&lt;235,K123^0.4193*0.6215,IF(K123&lt;932,K123*0.0092+4.2493,K123*0.0069+6.7345)))</f>
        <v>16.808499999999999</v>
      </c>
      <c r="M123" s="133">
        <f>+L123/1000</f>
        <v>1.6808499999999997E-2</v>
      </c>
      <c r="N123" s="133">
        <f t="shared" si="176"/>
        <v>0.13366067149544208</v>
      </c>
      <c r="O123" s="133">
        <f t="shared" si="177"/>
        <v>5.2622311612378772</v>
      </c>
      <c r="P123" s="134">
        <f t="shared" si="182"/>
        <v>6</v>
      </c>
      <c r="Q123" s="135">
        <f>IF(O123&gt;0,VLOOKUP(P123,'$ alcantarillado'!$I$5:$L$22,4,FALSE),"0")</f>
        <v>0.14499999999999999</v>
      </c>
      <c r="R123" s="135">
        <f t="shared" si="178"/>
        <v>2.0884973477563944E-2</v>
      </c>
      <c r="S123" s="136">
        <f t="shared" si="179"/>
        <v>0.80481308813041241</v>
      </c>
      <c r="T123" s="134">
        <f>+IF(S123&gt;$B$13,VLOOKUP(P123,'$ alcantarillado'!$I$6:$N$22,5),P123)</f>
        <v>6</v>
      </c>
      <c r="U123" s="135">
        <f>IF(O123&gt;0,VLOOKUP(T123,'$ alcantarillado'!$I$5:$L$22,4),"0")</f>
        <v>0.14499999999999999</v>
      </c>
      <c r="V123" s="135">
        <f t="shared" si="180"/>
        <v>2.0884973477563944E-2</v>
      </c>
      <c r="W123" s="136">
        <f t="shared" si="273"/>
        <v>0.80481308813041241</v>
      </c>
      <c r="X123" s="136">
        <f>IF(T123&gt;0,4*V123/(PI()*(U123)^2),"")</f>
        <v>1.2647597680085358</v>
      </c>
      <c r="Y123" s="135">
        <f>IF(T123&gt;0,(VLOOKUP($W123,Relaciones!$A$4:$D$108,2)),"")</f>
        <v>0.98399999999999999</v>
      </c>
      <c r="Z123" s="136">
        <f>IF(T123&gt;0,Y123*X123,"")</f>
        <v>1.2445236117203993</v>
      </c>
      <c r="AA123" s="136">
        <f>IF(T123&gt;0,250*U123*J123,"")</f>
        <v>0.48333333333333334</v>
      </c>
      <c r="AB123" s="137" t="str">
        <f>IF(T123&gt;0,IF(W123&lt;=$B$13,"OK","No Cumple"),"")</f>
        <v>OK</v>
      </c>
      <c r="AC123" s="137" t="str">
        <f>IF(T123&gt;0,IF(Z123&gt;=$B$12,"OK","No Cumple"),"")</f>
        <v>OK</v>
      </c>
      <c r="AD123" s="137" t="str">
        <f>IF(T123&gt;0,IF(AA123&gt;$B$14,"OK","No Cumple"),"")</f>
        <v>OK</v>
      </c>
      <c r="AE123" s="138">
        <f>+IF(AB123="OK",1,0)</f>
        <v>1</v>
      </c>
      <c r="AF123" s="138">
        <f>+IF(AC123="OK",1,0)</f>
        <v>1</v>
      </c>
      <c r="AG123" s="138">
        <f>+IF(AD123="OK",1,0)</f>
        <v>1</v>
      </c>
      <c r="AH123" s="138">
        <f>SUM(AE123:AG123)</f>
        <v>3</v>
      </c>
      <c r="AI123" s="137">
        <f>IF(AH123=3,2*$B$7+U123,0)</f>
        <v>0.64500000000000002</v>
      </c>
      <c r="AJ123" s="139">
        <f>IF(AI123&gt;0,I123*VLOOKUP(T123,'$ alcantarillado'!$I$6:$K$22,3),0)</f>
        <v>1792662.5</v>
      </c>
      <c r="AK123" s="139">
        <f t="shared" ref="AK123:AK147" si="286">IF(N123&gt;0,((($D$123-F123)+(U123))+(($D$148-H123)+(U123))/2)*AI123*I123*$C$9,0)</f>
        <v>4205722.5000000037</v>
      </c>
      <c r="AL123" s="139">
        <f t="shared" ref="AL123:AL147" si="287">IF(AI123&gt;0,(($D$123-F123)+U123)*$C$10,0)</f>
        <v>2247498.8200000022</v>
      </c>
      <c r="AM123" s="139">
        <f>IF(AJ123&gt;0,AJ123+AK123+AL123,0)</f>
        <v>8245883.8200000059</v>
      </c>
      <c r="AN123" s="162">
        <f>IF(AP98&gt;0,+AP98,0)</f>
        <v>39502701.926333368</v>
      </c>
      <c r="AO123" s="140">
        <f>IF((AM123)&gt;0,IF(AN123&gt;0,AM123+AN123,""),"")</f>
        <v>47748585.746333376</v>
      </c>
      <c r="AP123" s="217">
        <f>+MIN(AO123:AO127)</f>
        <v>47748585.746333376</v>
      </c>
      <c r="AQ123" s="129"/>
      <c r="AR123" s="163"/>
    </row>
    <row r="124" spans="1:44" x14ac:dyDescent="0.25">
      <c r="A124" s="230"/>
      <c r="B124" s="230"/>
      <c r="C124" s="230"/>
      <c r="D124" s="230"/>
      <c r="E124" s="141">
        <v>2</v>
      </c>
      <c r="F124" s="142">
        <f>+H103</f>
        <v>45.89</v>
      </c>
      <c r="G124" s="141">
        <v>1</v>
      </c>
      <c r="H124" s="146">
        <f>+H123</f>
        <v>45.015000000000001</v>
      </c>
      <c r="I124" s="142">
        <f>+I123</f>
        <v>75</v>
      </c>
      <c r="J124" s="143">
        <f t="shared" ref="J124:J147" si="288">+(F124-H124)/I124</f>
        <v>1.1666666666666667E-2</v>
      </c>
      <c r="K124" s="142">
        <f>+K123</f>
        <v>1460</v>
      </c>
      <c r="L124" s="128">
        <f t="shared" ref="L124:L147" si="289">IF(K124&lt;38,K124^0.3686*0.7401,IF(K124&lt;235,K124^0.4193*0.6215,IF(K124&lt;932,K124*0.0092+4.2493,K124*0.0069+6.7345)))</f>
        <v>16.808499999999999</v>
      </c>
      <c r="M124" s="144">
        <f t="shared" ref="M124:M127" si="290">+L124/1000</f>
        <v>1.6808499999999997E-2</v>
      </c>
      <c r="N124" s="144">
        <f t="shared" si="176"/>
        <v>0.13704939689167578</v>
      </c>
      <c r="O124" s="144">
        <f t="shared" si="177"/>
        <v>5.3956455469163691</v>
      </c>
      <c r="P124" s="145">
        <f t="shared" si="182"/>
        <v>6</v>
      </c>
      <c r="Q124" s="113">
        <f>IF(O124&gt;0,VLOOKUP(P124,'$ alcantarillado'!$I$5:$L$22,4,FALSE),"0")</f>
        <v>0.14499999999999999</v>
      </c>
      <c r="R124" s="113">
        <f t="shared" si="178"/>
        <v>1.9536103821226249E-2</v>
      </c>
      <c r="S124" s="146">
        <f t="shared" si="179"/>
        <v>0.8603813817644298</v>
      </c>
      <c r="T124" s="145">
        <f>+IF(S124&gt;$B$13,VLOOKUP(P124,'$ alcantarillado'!$I$6:$N$22,5),P124)</f>
        <v>8</v>
      </c>
      <c r="U124" s="113">
        <f>IF(O124&gt;0,VLOOKUP(T124,'$ alcantarillado'!$I$5:$L$22,4),"0")</f>
        <v>0.182</v>
      </c>
      <c r="V124" s="113">
        <f t="shared" si="180"/>
        <v>3.5813517912563465E-2</v>
      </c>
      <c r="W124" s="146">
        <f t="shared" si="273"/>
        <v>0.46933395487806956</v>
      </c>
      <c r="X124" s="146">
        <f t="shared" ref="X124:X127" si="291">IF(T124&gt;0,4*V124/(PI()*(U124)^2),"")</f>
        <v>1.3766207958687628</v>
      </c>
      <c r="Y124" s="113">
        <f>IF(T124&gt;0,(VLOOKUP($W124,Relaciones!$A$4:$D$108,2)),"")</f>
        <v>0.83</v>
      </c>
      <c r="Z124" s="146">
        <f t="shared" ref="Z124:Z127" si="292">IF(T124&gt;0,Y124*X124,"")</f>
        <v>1.1425952605710732</v>
      </c>
      <c r="AA124" s="146">
        <f t="shared" ref="AA124:AA127" si="293">IF(T124&gt;0,250*U124*J124,"")</f>
        <v>0.53083333333333338</v>
      </c>
      <c r="AB124" s="147" t="str">
        <f t="shared" ref="AB124:AB127" si="294">IF(T124&gt;0,IF(W124&lt;=$B$13,"OK","No Cumple"),"")</f>
        <v>OK</v>
      </c>
      <c r="AC124" s="147" t="str">
        <f t="shared" ref="AC124:AC127" si="295">IF(T124&gt;0,IF(Z124&gt;=$B$12,"OK","No Cumple"),"")</f>
        <v>OK</v>
      </c>
      <c r="AD124" s="147" t="str">
        <f t="shared" ref="AD124:AD127" si="296">IF(T124&gt;0,IF(AA124&gt;$B$14,"OK","No Cumple"),"")</f>
        <v>OK</v>
      </c>
      <c r="AE124" s="148">
        <f t="shared" ref="AE124:AG127" si="297">+IF(AB124="OK",1,0)</f>
        <v>1</v>
      </c>
      <c r="AF124" s="148">
        <f t="shared" si="297"/>
        <v>1</v>
      </c>
      <c r="AG124" s="148">
        <f t="shared" si="297"/>
        <v>1</v>
      </c>
      <c r="AH124" s="148">
        <f t="shared" ref="AH124:AH127" si="298">SUM(AE124:AG124)</f>
        <v>3</v>
      </c>
      <c r="AI124" s="147">
        <f t="shared" ref="AI124:AI127" si="299">IF(AH124=3,2*$B$7+U124,0)</f>
        <v>0.68199999999999994</v>
      </c>
      <c r="AJ124" s="149">
        <f>IF(AI124&gt;0,I124*VLOOKUP(T124,'$ alcantarillado'!$I$6:$K$22,3),0)</f>
        <v>2488675</v>
      </c>
      <c r="AK124" s="149">
        <f t="shared" si="286"/>
        <v>4613167.3500000034</v>
      </c>
      <c r="AL124" s="149">
        <f t="shared" si="287"/>
        <v>2360571.7420000019</v>
      </c>
      <c r="AM124" s="149">
        <f t="shared" ref="AM124:AM147" si="300">IF(AJ124&gt;0,AJ124+AK124+AL124,0)</f>
        <v>9462414.0920000058</v>
      </c>
      <c r="AN124" s="164">
        <f>+AP103</f>
        <v>39564081.926333368</v>
      </c>
      <c r="AO124" s="150">
        <f t="shared" ref="AO124:AO127" si="301">IF((AM124)&gt;0,IF(AN124&gt;0,AM124+AN124,""),"")</f>
        <v>49026496.018333375</v>
      </c>
      <c r="AP124" s="218"/>
      <c r="AQ124" s="142">
        <v>1</v>
      </c>
      <c r="AR124" s="165">
        <v>1</v>
      </c>
    </row>
    <row r="125" spans="1:44" x14ac:dyDescent="0.25">
      <c r="A125" s="230"/>
      <c r="B125" s="230"/>
      <c r="C125" s="230"/>
      <c r="D125" s="230"/>
      <c r="E125" s="151">
        <v>3</v>
      </c>
      <c r="F125" s="142">
        <f>+H108</f>
        <v>45.765000000000001</v>
      </c>
      <c r="G125" s="151">
        <v>1</v>
      </c>
      <c r="H125" s="142">
        <f t="shared" ref="H125:I126" si="302">+H124</f>
        <v>45.015000000000001</v>
      </c>
      <c r="I125" s="142">
        <f t="shared" si="302"/>
        <v>75</v>
      </c>
      <c r="J125" s="143">
        <f t="shared" si="288"/>
        <v>0.01</v>
      </c>
      <c r="K125" s="142">
        <f t="shared" ref="K125:K126" si="303">+K124</f>
        <v>1460</v>
      </c>
      <c r="L125" s="128">
        <f t="shared" si="289"/>
        <v>16.808499999999999</v>
      </c>
      <c r="M125" s="144">
        <f t="shared" si="290"/>
        <v>1.6808499999999997E-2</v>
      </c>
      <c r="N125" s="144">
        <f t="shared" si="176"/>
        <v>0.14106837114124132</v>
      </c>
      <c r="O125" s="144">
        <f t="shared" si="177"/>
        <v>5.5538728795764305</v>
      </c>
      <c r="P125" s="145">
        <f t="shared" si="182"/>
        <v>6</v>
      </c>
      <c r="Q125" s="113">
        <f>IF(O125&gt;0,VLOOKUP(P125,'$ alcantarillado'!$I$5:$L$22,4,FALSE),"0")</f>
        <v>0.14499999999999999</v>
      </c>
      <c r="R125" s="113">
        <f t="shared" si="178"/>
        <v>1.8086917588934607E-2</v>
      </c>
      <c r="S125" s="146">
        <f t="shared" si="179"/>
        <v>0.92931810615885524</v>
      </c>
      <c r="T125" s="145">
        <f>+IF(S125&gt;$B$13,VLOOKUP(P125,'$ alcantarillado'!$I$6:$N$22,5),P125)</f>
        <v>8</v>
      </c>
      <c r="U125" s="113">
        <f>IF(O125&gt;0,VLOOKUP(T125,'$ alcantarillado'!$I$5:$L$22,4),"0")</f>
        <v>0.182</v>
      </c>
      <c r="V125" s="113">
        <f t="shared" si="180"/>
        <v>3.3156874727015569E-2</v>
      </c>
      <c r="W125" s="146">
        <f t="shared" si="273"/>
        <v>0.50693861042050392</v>
      </c>
      <c r="X125" s="146">
        <f t="shared" si="291"/>
        <v>1.2745032025801872</v>
      </c>
      <c r="Y125" s="113">
        <f>IF(T125&gt;0,(VLOOKUP($W125,Relaciones!$A$4:$D$108,2)),"")</f>
        <v>0.85</v>
      </c>
      <c r="Z125" s="146">
        <f t="shared" si="292"/>
        <v>1.0833277221931592</v>
      </c>
      <c r="AA125" s="146">
        <f t="shared" si="293"/>
        <v>0.45500000000000002</v>
      </c>
      <c r="AB125" s="147" t="str">
        <f t="shared" si="294"/>
        <v>OK</v>
      </c>
      <c r="AC125" s="147" t="str">
        <f t="shared" si="295"/>
        <v>OK</v>
      </c>
      <c r="AD125" s="147" t="str">
        <f t="shared" si="296"/>
        <v>OK</v>
      </c>
      <c r="AE125" s="148">
        <f t="shared" si="297"/>
        <v>1</v>
      </c>
      <c r="AF125" s="148">
        <f t="shared" si="297"/>
        <v>1</v>
      </c>
      <c r="AG125" s="148">
        <f t="shared" si="297"/>
        <v>1</v>
      </c>
      <c r="AH125" s="148">
        <f t="shared" si="298"/>
        <v>3</v>
      </c>
      <c r="AI125" s="147">
        <f t="shared" si="299"/>
        <v>0.68199999999999994</v>
      </c>
      <c r="AJ125" s="149">
        <f>IF(AI125&gt;0,I125*VLOOKUP(T125,'$ alcantarillado'!$I$6:$K$22,3),0)</f>
        <v>2488675</v>
      </c>
      <c r="AK125" s="149">
        <f t="shared" si="286"/>
        <v>4728254.8500000034</v>
      </c>
      <c r="AL125" s="149">
        <f t="shared" si="287"/>
        <v>2447819.3670000019</v>
      </c>
      <c r="AM125" s="149">
        <f t="shared" si="300"/>
        <v>9664749.2170000058</v>
      </c>
      <c r="AN125" s="164">
        <f>+AP108</f>
        <v>38572015.45600003</v>
      </c>
      <c r="AO125" s="150">
        <f t="shared" si="301"/>
        <v>48236764.673000038</v>
      </c>
      <c r="AP125" s="219"/>
      <c r="AQ125" s="142"/>
      <c r="AR125" s="165"/>
    </row>
    <row r="126" spans="1:44" x14ac:dyDescent="0.25">
      <c r="A126" s="230"/>
      <c r="B126" s="230"/>
      <c r="C126" s="230"/>
      <c r="D126" s="230"/>
      <c r="E126" s="151">
        <v>4</v>
      </c>
      <c r="F126" s="142">
        <f>+H113</f>
        <v>45.64</v>
      </c>
      <c r="G126" s="151">
        <v>1</v>
      </c>
      <c r="H126" s="142">
        <f t="shared" si="302"/>
        <v>45.015000000000001</v>
      </c>
      <c r="I126" s="142">
        <f t="shared" si="302"/>
        <v>75</v>
      </c>
      <c r="J126" s="143">
        <f>+(F126-H126)/I126</f>
        <v>8.3333333333333332E-3</v>
      </c>
      <c r="K126" s="142">
        <f t="shared" si="303"/>
        <v>1460</v>
      </c>
      <c r="L126" s="128">
        <f t="shared" si="289"/>
        <v>16.808499999999999</v>
      </c>
      <c r="M126" s="144">
        <f t="shared" si="290"/>
        <v>1.6808499999999997E-2</v>
      </c>
      <c r="N126" s="144">
        <f t="shared" si="176"/>
        <v>0.1459742106118892</v>
      </c>
      <c r="O126" s="144">
        <f t="shared" si="177"/>
        <v>5.7470161658224095</v>
      </c>
      <c r="P126" s="145">
        <f t="shared" si="182"/>
        <v>6</v>
      </c>
      <c r="Q126" s="113">
        <f>IF(O126&gt;0,VLOOKUP(P126,'$ alcantarillado'!$I$5:$L$22,4,FALSE),"0")</f>
        <v>0.14499999999999999</v>
      </c>
      <c r="R126" s="113">
        <f t="shared" si="178"/>
        <v>1.6511021265327393E-2</v>
      </c>
      <c r="S126" s="146">
        <f t="shared" si="179"/>
        <v>1.0180169796823713</v>
      </c>
      <c r="T126" s="145">
        <f>+IF(S126&gt;$B$13,VLOOKUP(P126,'$ alcantarillado'!$I$6:$N$22,5),P126)</f>
        <v>8</v>
      </c>
      <c r="U126" s="113">
        <f>IF(O126&gt;0,VLOOKUP(T126,'$ alcantarillado'!$I$5:$L$22,4),"0")</f>
        <v>0.182</v>
      </c>
      <c r="V126" s="113">
        <f t="shared" si="180"/>
        <v>3.0267947040598951E-2</v>
      </c>
      <c r="W126" s="146">
        <f t="shared" si="273"/>
        <v>0.55532342439526694</v>
      </c>
      <c r="X126" s="146">
        <f t="shared" si="291"/>
        <v>1.1634569227762415</v>
      </c>
      <c r="Y126" s="113">
        <f>IF(T126&gt;0,(VLOOKUP($W126,Relaciones!$A$4:$D$108,2)),"")</f>
        <v>0.875</v>
      </c>
      <c r="Z126" s="146">
        <f t="shared" si="292"/>
        <v>1.0180248074292113</v>
      </c>
      <c r="AA126" s="146">
        <f t="shared" si="293"/>
        <v>0.37916666666666665</v>
      </c>
      <c r="AB126" s="147" t="str">
        <f t="shared" si="294"/>
        <v>OK</v>
      </c>
      <c r="AC126" s="147" t="str">
        <f t="shared" si="295"/>
        <v>OK</v>
      </c>
      <c r="AD126" s="147" t="str">
        <f t="shared" si="296"/>
        <v>OK</v>
      </c>
      <c r="AE126" s="148">
        <f t="shared" si="297"/>
        <v>1</v>
      </c>
      <c r="AF126" s="148">
        <f t="shared" si="297"/>
        <v>1</v>
      </c>
      <c r="AG126" s="148">
        <f t="shared" si="297"/>
        <v>1</v>
      </c>
      <c r="AH126" s="148">
        <f t="shared" si="298"/>
        <v>3</v>
      </c>
      <c r="AI126" s="147">
        <f t="shared" si="299"/>
        <v>0.68199999999999994</v>
      </c>
      <c r="AJ126" s="149">
        <f>IF(AI126&gt;0,I126*VLOOKUP(T126,'$ alcantarillado'!$I$6:$K$22,3),0)</f>
        <v>2488675</v>
      </c>
      <c r="AK126" s="149">
        <f t="shared" si="286"/>
        <v>4843342.3500000034</v>
      </c>
      <c r="AL126" s="149">
        <f t="shared" si="287"/>
        <v>2535066.9920000019</v>
      </c>
      <c r="AM126" s="149">
        <f t="shared" si="300"/>
        <v>9867084.3420000058</v>
      </c>
      <c r="AN126" s="164">
        <f>+AP113</f>
        <v>38630065.45600003</v>
      </c>
      <c r="AO126" s="150">
        <f t="shared" si="301"/>
        <v>48497149.798000038</v>
      </c>
      <c r="AP126" s="219"/>
      <c r="AQ126" s="142"/>
      <c r="AR126" s="165"/>
    </row>
    <row r="127" spans="1:44" ht="15.75" thickBot="1" x14ac:dyDescent="0.3">
      <c r="A127" s="230"/>
      <c r="B127" s="230"/>
      <c r="C127" s="230"/>
      <c r="D127" s="230"/>
      <c r="E127" s="152">
        <v>5</v>
      </c>
      <c r="F127" s="153">
        <f>+H118</f>
        <v>45.515000000000001</v>
      </c>
      <c r="G127" s="152">
        <v>1</v>
      </c>
      <c r="H127" s="154">
        <f>+H126</f>
        <v>45.015000000000001</v>
      </c>
      <c r="I127" s="154">
        <f>+I126</f>
        <v>75</v>
      </c>
      <c r="J127" s="155">
        <f t="shared" si="288"/>
        <v>6.6666666666666671E-3</v>
      </c>
      <c r="K127" s="154">
        <f>+K126</f>
        <v>1460</v>
      </c>
      <c r="L127" s="153">
        <f t="shared" si="289"/>
        <v>16.808499999999999</v>
      </c>
      <c r="M127" s="156">
        <f t="shared" si="290"/>
        <v>1.6808499999999997E-2</v>
      </c>
      <c r="N127" s="156">
        <f t="shared" si="176"/>
        <v>0.15221125361295712</v>
      </c>
      <c r="O127" s="156">
        <f t="shared" si="177"/>
        <v>5.9925690398802018</v>
      </c>
      <c r="P127" s="157">
        <f t="shared" si="182"/>
        <v>6</v>
      </c>
      <c r="Q127" s="113">
        <f>IF(O127&gt;0,VLOOKUP(P127,'$ alcantarillado'!$I$5:$L$22,4,FALSE),"0")</f>
        <v>0.14499999999999999</v>
      </c>
      <c r="R127" s="113">
        <f t="shared" si="178"/>
        <v>1.4767906370886659E-2</v>
      </c>
      <c r="S127" s="146">
        <f t="shared" si="179"/>
        <v>1.138177584409402</v>
      </c>
      <c r="T127" s="145">
        <f>+IF(S127&gt;$B$13,VLOOKUP(P127,'$ alcantarillado'!$I$6:$N$22,5),P127)</f>
        <v>8</v>
      </c>
      <c r="U127" s="113">
        <f>IF(O127&gt;0,VLOOKUP(T127,'$ alcantarillado'!$I$5:$L$22,4),"0")</f>
        <v>0.182</v>
      </c>
      <c r="V127" s="113">
        <f t="shared" si="180"/>
        <v>2.707247484885714E-2</v>
      </c>
      <c r="W127" s="146">
        <f t="shared" si="273"/>
        <v>0.62087046322289097</v>
      </c>
      <c r="X127" s="146">
        <f t="shared" si="291"/>
        <v>1.0406275072881599</v>
      </c>
      <c r="Y127" s="113">
        <f>IF(T127&gt;0,(VLOOKUP($W127,Relaciones!$A$4:$D$108,2)),"")</f>
        <v>0.90800000000000003</v>
      </c>
      <c r="Z127" s="146">
        <f t="shared" si="292"/>
        <v>0.94488977661764917</v>
      </c>
      <c r="AA127" s="146">
        <f t="shared" si="293"/>
        <v>0.30333333333333334</v>
      </c>
      <c r="AB127" s="147" t="str">
        <f t="shared" si="294"/>
        <v>OK</v>
      </c>
      <c r="AC127" s="147" t="str">
        <f t="shared" si="295"/>
        <v>OK</v>
      </c>
      <c r="AD127" s="147" t="str">
        <f t="shared" si="296"/>
        <v>OK</v>
      </c>
      <c r="AE127" s="148">
        <f t="shared" si="297"/>
        <v>1</v>
      </c>
      <c r="AF127" s="148">
        <f t="shared" si="297"/>
        <v>1</v>
      </c>
      <c r="AG127" s="148">
        <f t="shared" si="297"/>
        <v>1</v>
      </c>
      <c r="AH127" s="148">
        <f t="shared" si="298"/>
        <v>3</v>
      </c>
      <c r="AI127" s="147">
        <f t="shared" si="299"/>
        <v>0.68199999999999994</v>
      </c>
      <c r="AJ127" s="158">
        <f>IF(AI127&gt;0,I127*VLOOKUP(T127,'$ alcantarillado'!$I$6:$K$22,3),0)</f>
        <v>2488675</v>
      </c>
      <c r="AK127" s="149">
        <f t="shared" si="286"/>
        <v>4958429.8500000034</v>
      </c>
      <c r="AL127" s="149">
        <f t="shared" si="287"/>
        <v>2622314.6170000019</v>
      </c>
      <c r="AM127" s="158">
        <f t="shared" si="300"/>
        <v>10069419.467000006</v>
      </c>
      <c r="AN127" s="164">
        <f>+AP118</f>
        <v>38688115.45600003</v>
      </c>
      <c r="AO127" s="159">
        <f t="shared" si="301"/>
        <v>48757534.923000038</v>
      </c>
      <c r="AP127" s="220"/>
      <c r="AQ127" s="154"/>
      <c r="AR127" s="166"/>
    </row>
    <row r="128" spans="1:44" x14ac:dyDescent="0.25">
      <c r="A128" s="230"/>
      <c r="B128" s="230"/>
      <c r="C128" s="230"/>
      <c r="D128" s="230"/>
      <c r="E128" s="127">
        <v>1</v>
      </c>
      <c r="F128" s="129">
        <f>+H98</f>
        <v>46.015000000000001</v>
      </c>
      <c r="G128" s="127">
        <v>2</v>
      </c>
      <c r="H128" s="146">
        <f>+H133+$B$15</f>
        <v>44.89</v>
      </c>
      <c r="I128" s="142">
        <f>+I127</f>
        <v>75</v>
      </c>
      <c r="J128" s="143">
        <f>+(F128-H128)/I128</f>
        <v>1.4999999999999999E-2</v>
      </c>
      <c r="K128" s="142">
        <f>+K127</f>
        <v>1460</v>
      </c>
      <c r="L128" s="132">
        <f>IF(K128&lt;38,K128^0.3686*0.7401,IF(K128&lt;235,K128^0.4193*0.6215,IF(K128&lt;932,K128*0.0092+4.2493,K128*0.0069+6.7345)))</f>
        <v>16.808499999999999</v>
      </c>
      <c r="M128" s="133">
        <f>+L128/1000</f>
        <v>1.6808499999999997E-2</v>
      </c>
      <c r="N128" s="133">
        <f t="shared" si="176"/>
        <v>0.13074122224264353</v>
      </c>
      <c r="O128" s="133">
        <f t="shared" si="177"/>
        <v>5.1472922142773045</v>
      </c>
      <c r="P128" s="134">
        <f t="shared" si="182"/>
        <v>6</v>
      </c>
      <c r="Q128" s="135">
        <f>IF(O128&gt;0,VLOOKUP(P128,'$ alcantarillado'!$I$5:$L$22,4,FALSE),"0")</f>
        <v>0.14499999999999999</v>
      </c>
      <c r="R128" s="135">
        <f t="shared" si="178"/>
        <v>2.2151859556329985E-2</v>
      </c>
      <c r="S128" s="136">
        <f t="shared" si="179"/>
        <v>0.7587850562729348</v>
      </c>
      <c r="T128" s="134">
        <f>+IF(S128&gt;$B$13,VLOOKUP(P128,'$ alcantarillado'!$I$6:$N$22,5),P128)</f>
        <v>6</v>
      </c>
      <c r="U128" s="135">
        <f>IF(O128&gt;0,VLOOKUP(T128,'$ alcantarillado'!$I$5:$L$22,4),"0")</f>
        <v>0.14499999999999999</v>
      </c>
      <c r="V128" s="135">
        <f t="shared" si="180"/>
        <v>2.2151859556329985E-2</v>
      </c>
      <c r="W128" s="136">
        <f t="shared" si="273"/>
        <v>0.7587850562729348</v>
      </c>
      <c r="X128" s="136">
        <f>IF(T128&gt;0,4*V128/(PI()*(U128)^2),"")</f>
        <v>1.3414803127961406</v>
      </c>
      <c r="Y128" s="135">
        <f>IF(T128&gt;0,(VLOOKUP($W128,Relaciones!$A$4:$D$108,2)),"")</f>
        <v>0.96499999999999997</v>
      </c>
      <c r="Z128" s="136">
        <f>IF(T128&gt;0,Y128*X128,"")</f>
        <v>1.2945285018482755</v>
      </c>
      <c r="AA128" s="136">
        <f>IF(T128&gt;0,250*U128*J128,"")</f>
        <v>0.54374999999999996</v>
      </c>
      <c r="AB128" s="137" t="str">
        <f>IF(T128&gt;0,IF(W128&lt;=$B$13,"OK","No Cumple"),"")</f>
        <v>OK</v>
      </c>
      <c r="AC128" s="137" t="str">
        <f>IF(T128&gt;0,IF(Z128&gt;=$B$12,"OK","No Cumple"),"")</f>
        <v>OK</v>
      </c>
      <c r="AD128" s="137" t="str">
        <f>IF(T128&gt;0,IF(AA128&gt;$B$14,"OK","No Cumple"),"")</f>
        <v>OK</v>
      </c>
      <c r="AE128" s="138">
        <f>+IF(AB128="OK",1,0)</f>
        <v>1</v>
      </c>
      <c r="AF128" s="138">
        <f>+IF(AC128="OK",1,0)</f>
        <v>1</v>
      </c>
      <c r="AG128" s="138">
        <f>+IF(AD128="OK",1,0)</f>
        <v>1</v>
      </c>
      <c r="AH128" s="138">
        <f>SUM(AE128:AG128)</f>
        <v>3</v>
      </c>
      <c r="AI128" s="137">
        <f>IF(AH128=3,2*$B$7+U128,0)</f>
        <v>0.64500000000000002</v>
      </c>
      <c r="AJ128" s="139">
        <f>IF(AI128&gt;0,I128*VLOOKUP(T128,'$ alcantarillado'!$I$6:$K$22,3),0)</f>
        <v>1792662.5</v>
      </c>
      <c r="AK128" s="139">
        <f t="shared" si="286"/>
        <v>4260144.3750000037</v>
      </c>
      <c r="AL128" s="139">
        <f t="shared" si="287"/>
        <v>2247498.8200000022</v>
      </c>
      <c r="AM128" s="139">
        <f>IF(AJ128&gt;0,AJ128+AK128+AL128,0)</f>
        <v>8300305.6950000059</v>
      </c>
      <c r="AN128" s="162">
        <f>IF(AP98&gt;0,+AP98,0)</f>
        <v>39502701.926333368</v>
      </c>
      <c r="AO128" s="140">
        <f>IF((AM128)&gt;0,IF(AN128&gt;0,AM128+AN128,""),"")</f>
        <v>47803007.621333376</v>
      </c>
      <c r="AP128" s="217">
        <f>+MIN(AO128:AO132)</f>
        <v>47803007.621333376</v>
      </c>
      <c r="AQ128" s="142"/>
      <c r="AR128" s="165"/>
    </row>
    <row r="129" spans="1:44" x14ac:dyDescent="0.25">
      <c r="A129" s="230"/>
      <c r="B129" s="230"/>
      <c r="C129" s="230"/>
      <c r="D129" s="230"/>
      <c r="E129" s="141">
        <v>2</v>
      </c>
      <c r="F129" s="142">
        <f>+H103</f>
        <v>45.89</v>
      </c>
      <c r="G129" s="141">
        <v>2</v>
      </c>
      <c r="H129" s="146">
        <f>+H128</f>
        <v>44.89</v>
      </c>
      <c r="I129" s="142">
        <f>+I128</f>
        <v>75</v>
      </c>
      <c r="J129" s="143">
        <f t="shared" si="288"/>
        <v>1.3333333333333334E-2</v>
      </c>
      <c r="K129" s="142">
        <f>+K128</f>
        <v>1460</v>
      </c>
      <c r="L129" s="128">
        <f t="shared" si="289"/>
        <v>16.808499999999999</v>
      </c>
      <c r="M129" s="144">
        <f t="shared" ref="M129:M132" si="304">+L129/1000</f>
        <v>1.6808499999999997E-2</v>
      </c>
      <c r="N129" s="144">
        <f t="shared" si="176"/>
        <v>0.13366067149544208</v>
      </c>
      <c r="O129" s="144">
        <f t="shared" si="177"/>
        <v>5.2622311612378772</v>
      </c>
      <c r="P129" s="145">
        <f t="shared" si="182"/>
        <v>6</v>
      </c>
      <c r="Q129" s="113">
        <f>IF(O129&gt;0,VLOOKUP(P129,'$ alcantarillado'!$I$5:$L$22,4,FALSE),"0")</f>
        <v>0.14499999999999999</v>
      </c>
      <c r="R129" s="113">
        <f t="shared" si="178"/>
        <v>2.0884973477563944E-2</v>
      </c>
      <c r="S129" s="146">
        <f t="shared" si="179"/>
        <v>0.80481308813041241</v>
      </c>
      <c r="T129" s="145">
        <f>+IF(S129&gt;$B$13,VLOOKUP(P129,'$ alcantarillado'!$I$6:$N$22,5),P129)</f>
        <v>6</v>
      </c>
      <c r="U129" s="113">
        <f>IF(O129&gt;0,VLOOKUP(T129,'$ alcantarillado'!$I$5:$L$22,4),"0")</f>
        <v>0.14499999999999999</v>
      </c>
      <c r="V129" s="113">
        <f t="shared" si="180"/>
        <v>2.0884973477563944E-2</v>
      </c>
      <c r="W129" s="146">
        <f t="shared" si="273"/>
        <v>0.80481308813041241</v>
      </c>
      <c r="X129" s="146">
        <f t="shared" ref="X129:X132" si="305">IF(T129&gt;0,4*V129/(PI()*(U129)^2),"")</f>
        <v>1.2647597680085358</v>
      </c>
      <c r="Y129" s="113">
        <f>IF(T129&gt;0,(VLOOKUP($W129,Relaciones!$A$4:$D$108,2)),"")</f>
        <v>0.98399999999999999</v>
      </c>
      <c r="Z129" s="146">
        <f t="shared" ref="Z129:Z132" si="306">IF(T129&gt;0,Y129*X129,"")</f>
        <v>1.2445236117203993</v>
      </c>
      <c r="AA129" s="146">
        <f t="shared" ref="AA129:AA132" si="307">IF(T129&gt;0,250*U129*J129,"")</f>
        <v>0.48333333333333334</v>
      </c>
      <c r="AB129" s="147" t="str">
        <f t="shared" ref="AB129:AB132" si="308">IF(T129&gt;0,IF(W129&lt;=$B$13,"OK","No Cumple"),"")</f>
        <v>OK</v>
      </c>
      <c r="AC129" s="147" t="str">
        <f t="shared" ref="AC129:AC132" si="309">IF(T129&gt;0,IF(Z129&gt;=$B$12,"OK","No Cumple"),"")</f>
        <v>OK</v>
      </c>
      <c r="AD129" s="147" t="str">
        <f t="shared" ref="AD129:AD132" si="310">IF(T129&gt;0,IF(AA129&gt;$B$14,"OK","No Cumple"),"")</f>
        <v>OK</v>
      </c>
      <c r="AE129" s="148">
        <f t="shared" ref="AE129:AG132" si="311">+IF(AB129="OK",1,0)</f>
        <v>1</v>
      </c>
      <c r="AF129" s="148">
        <f t="shared" si="311"/>
        <v>1</v>
      </c>
      <c r="AG129" s="148">
        <f t="shared" si="311"/>
        <v>1</v>
      </c>
      <c r="AH129" s="148">
        <f t="shared" ref="AH129:AH132" si="312">SUM(AE129:AG129)</f>
        <v>3</v>
      </c>
      <c r="AI129" s="147">
        <f t="shared" ref="AI129:AI132" si="313">IF(AH129=3,2*$B$7+U129,0)</f>
        <v>0.64500000000000002</v>
      </c>
      <c r="AJ129" s="149">
        <f>IF(AI129&gt;0,I129*VLOOKUP(T129,'$ alcantarillado'!$I$6:$K$22,3),0)</f>
        <v>1792662.5</v>
      </c>
      <c r="AK129" s="149">
        <f t="shared" si="286"/>
        <v>4368988.1250000037</v>
      </c>
      <c r="AL129" s="149">
        <f t="shared" si="287"/>
        <v>2334746.4450000022</v>
      </c>
      <c r="AM129" s="149">
        <f t="shared" si="300"/>
        <v>8496397.0700000059</v>
      </c>
      <c r="AN129" s="164">
        <f>+AP103</f>
        <v>39564081.926333368</v>
      </c>
      <c r="AO129" s="150">
        <f t="shared" ref="AO129:AO132" si="314">IF((AM129)&gt;0,IF(AN129&gt;0,AM129+AN129,""),"")</f>
        <v>48060478.996333376</v>
      </c>
      <c r="AP129" s="218"/>
      <c r="AQ129" s="142">
        <v>1</v>
      </c>
      <c r="AR129" s="165">
        <v>2</v>
      </c>
    </row>
    <row r="130" spans="1:44" x14ac:dyDescent="0.25">
      <c r="A130" s="230"/>
      <c r="B130" s="230"/>
      <c r="C130" s="230"/>
      <c r="D130" s="230"/>
      <c r="E130" s="151">
        <v>3</v>
      </c>
      <c r="F130" s="142">
        <f>+H108</f>
        <v>45.765000000000001</v>
      </c>
      <c r="G130" s="151">
        <v>2</v>
      </c>
      <c r="H130" s="146">
        <f t="shared" ref="H130:I131" si="315">+H129</f>
        <v>44.89</v>
      </c>
      <c r="I130" s="142">
        <f t="shared" si="315"/>
        <v>75</v>
      </c>
      <c r="J130" s="143">
        <f t="shared" si="288"/>
        <v>1.1666666666666667E-2</v>
      </c>
      <c r="K130" s="142">
        <f t="shared" ref="K130:K131" si="316">+K129</f>
        <v>1460</v>
      </c>
      <c r="L130" s="128">
        <f t="shared" si="289"/>
        <v>16.808499999999999</v>
      </c>
      <c r="M130" s="144">
        <f t="shared" si="304"/>
        <v>1.6808499999999997E-2</v>
      </c>
      <c r="N130" s="144">
        <f t="shared" si="176"/>
        <v>0.13704939689167578</v>
      </c>
      <c r="O130" s="144">
        <f t="shared" si="177"/>
        <v>5.3956455469163691</v>
      </c>
      <c r="P130" s="145">
        <f t="shared" si="182"/>
        <v>6</v>
      </c>
      <c r="Q130" s="113">
        <f>IF(O130&gt;0,VLOOKUP(P130,'$ alcantarillado'!$I$5:$L$22,4,FALSE),"0")</f>
        <v>0.14499999999999999</v>
      </c>
      <c r="R130" s="113">
        <f t="shared" si="178"/>
        <v>1.9536103821226249E-2</v>
      </c>
      <c r="S130" s="146">
        <f t="shared" si="179"/>
        <v>0.8603813817644298</v>
      </c>
      <c r="T130" s="145">
        <f>+IF(S130&gt;$B$13,VLOOKUP(P130,'$ alcantarillado'!$I$6:$N$22,5),P130)</f>
        <v>8</v>
      </c>
      <c r="U130" s="113">
        <f>IF(O130&gt;0,VLOOKUP(T130,'$ alcantarillado'!$I$5:$L$22,4),"0")</f>
        <v>0.182</v>
      </c>
      <c r="V130" s="113">
        <f t="shared" si="180"/>
        <v>3.5813517912563465E-2</v>
      </c>
      <c r="W130" s="146">
        <f t="shared" si="273"/>
        <v>0.46933395487806956</v>
      </c>
      <c r="X130" s="146">
        <f t="shared" si="305"/>
        <v>1.3766207958687628</v>
      </c>
      <c r="Y130" s="113">
        <f>IF(T130&gt;0,(VLOOKUP($W130,Relaciones!$A$4:$D$108,2)),"")</f>
        <v>0.83</v>
      </c>
      <c r="Z130" s="146">
        <f t="shared" si="306"/>
        <v>1.1425952605710732</v>
      </c>
      <c r="AA130" s="146">
        <f t="shared" si="307"/>
        <v>0.53083333333333338</v>
      </c>
      <c r="AB130" s="147" t="str">
        <f t="shared" si="308"/>
        <v>OK</v>
      </c>
      <c r="AC130" s="147" t="str">
        <f t="shared" si="309"/>
        <v>OK</v>
      </c>
      <c r="AD130" s="147" t="str">
        <f t="shared" si="310"/>
        <v>OK</v>
      </c>
      <c r="AE130" s="148">
        <f t="shared" si="311"/>
        <v>1</v>
      </c>
      <c r="AF130" s="148">
        <f t="shared" si="311"/>
        <v>1</v>
      </c>
      <c r="AG130" s="148">
        <f t="shared" si="311"/>
        <v>1</v>
      </c>
      <c r="AH130" s="148">
        <f t="shared" si="312"/>
        <v>3</v>
      </c>
      <c r="AI130" s="147">
        <f t="shared" si="313"/>
        <v>0.68199999999999994</v>
      </c>
      <c r="AJ130" s="149">
        <f>IF(AI130&gt;0,I130*VLOOKUP(T130,'$ alcantarillado'!$I$6:$K$22,3),0)</f>
        <v>2488675</v>
      </c>
      <c r="AK130" s="149">
        <f t="shared" si="286"/>
        <v>4785798.6000000034</v>
      </c>
      <c r="AL130" s="149">
        <f t="shared" si="287"/>
        <v>2447819.3670000019</v>
      </c>
      <c r="AM130" s="149">
        <f t="shared" si="300"/>
        <v>9722292.9670000058</v>
      </c>
      <c r="AN130" s="164">
        <f>+AP108</f>
        <v>38572015.45600003</v>
      </c>
      <c r="AO130" s="150">
        <f t="shared" si="314"/>
        <v>48294308.423000038</v>
      </c>
      <c r="AP130" s="219"/>
      <c r="AQ130" s="142"/>
      <c r="AR130" s="165"/>
    </row>
    <row r="131" spans="1:44" x14ac:dyDescent="0.25">
      <c r="A131" s="230"/>
      <c r="B131" s="230"/>
      <c r="C131" s="230"/>
      <c r="D131" s="230"/>
      <c r="E131" s="151">
        <v>4</v>
      </c>
      <c r="F131" s="142">
        <f>+H113</f>
        <v>45.64</v>
      </c>
      <c r="G131" s="151">
        <v>2</v>
      </c>
      <c r="H131" s="146">
        <f t="shared" si="315"/>
        <v>44.89</v>
      </c>
      <c r="I131" s="142">
        <f t="shared" si="315"/>
        <v>75</v>
      </c>
      <c r="J131" s="143">
        <f>+(F131-H131)/I131</f>
        <v>0.01</v>
      </c>
      <c r="K131" s="142">
        <f t="shared" si="316"/>
        <v>1460</v>
      </c>
      <c r="L131" s="128">
        <f t="shared" si="289"/>
        <v>16.808499999999999</v>
      </c>
      <c r="M131" s="144">
        <f t="shared" si="304"/>
        <v>1.6808499999999997E-2</v>
      </c>
      <c r="N131" s="144">
        <f t="shared" si="176"/>
        <v>0.14106837114124132</v>
      </c>
      <c r="O131" s="144">
        <f t="shared" si="177"/>
        <v>5.5538728795764305</v>
      </c>
      <c r="P131" s="145">
        <f t="shared" si="182"/>
        <v>6</v>
      </c>
      <c r="Q131" s="113">
        <f>IF(O131&gt;0,VLOOKUP(P131,'$ alcantarillado'!$I$5:$L$22,4,FALSE),"0")</f>
        <v>0.14499999999999999</v>
      </c>
      <c r="R131" s="113">
        <f t="shared" si="178"/>
        <v>1.8086917588934607E-2</v>
      </c>
      <c r="S131" s="146">
        <f t="shared" si="179"/>
        <v>0.92931810615885524</v>
      </c>
      <c r="T131" s="145">
        <f>+IF(S131&gt;$B$13,VLOOKUP(P131,'$ alcantarillado'!$I$6:$N$22,5),P131)</f>
        <v>8</v>
      </c>
      <c r="U131" s="113">
        <f>IF(O131&gt;0,VLOOKUP(T131,'$ alcantarillado'!$I$5:$L$22,4),"0")</f>
        <v>0.182</v>
      </c>
      <c r="V131" s="113">
        <f t="shared" si="180"/>
        <v>3.3156874727015569E-2</v>
      </c>
      <c r="W131" s="146">
        <f t="shared" si="273"/>
        <v>0.50693861042050392</v>
      </c>
      <c r="X131" s="146">
        <f t="shared" si="305"/>
        <v>1.2745032025801872</v>
      </c>
      <c r="Y131" s="113">
        <f>IF(T131&gt;0,(VLOOKUP($W131,Relaciones!$A$4:$D$108,2)),"")</f>
        <v>0.85</v>
      </c>
      <c r="Z131" s="146">
        <f t="shared" si="306"/>
        <v>1.0833277221931592</v>
      </c>
      <c r="AA131" s="146">
        <f t="shared" si="307"/>
        <v>0.45500000000000002</v>
      </c>
      <c r="AB131" s="147" t="str">
        <f t="shared" si="308"/>
        <v>OK</v>
      </c>
      <c r="AC131" s="147" t="str">
        <f t="shared" si="309"/>
        <v>OK</v>
      </c>
      <c r="AD131" s="147" t="str">
        <f t="shared" si="310"/>
        <v>OK</v>
      </c>
      <c r="AE131" s="148">
        <f t="shared" si="311"/>
        <v>1</v>
      </c>
      <c r="AF131" s="148">
        <f t="shared" si="311"/>
        <v>1</v>
      </c>
      <c r="AG131" s="148">
        <f t="shared" si="311"/>
        <v>1</v>
      </c>
      <c r="AH131" s="148">
        <f t="shared" si="312"/>
        <v>3</v>
      </c>
      <c r="AI131" s="147">
        <f t="shared" si="313"/>
        <v>0.68199999999999994</v>
      </c>
      <c r="AJ131" s="149">
        <f>IF(AI131&gt;0,I131*VLOOKUP(T131,'$ alcantarillado'!$I$6:$K$22,3),0)</f>
        <v>2488675</v>
      </c>
      <c r="AK131" s="149">
        <f t="shared" si="286"/>
        <v>4900886.1000000034</v>
      </c>
      <c r="AL131" s="149">
        <f t="shared" si="287"/>
        <v>2535066.9920000019</v>
      </c>
      <c r="AM131" s="149">
        <f t="shared" si="300"/>
        <v>9924628.0920000058</v>
      </c>
      <c r="AN131" s="164">
        <f>+AP113</f>
        <v>38630065.45600003</v>
      </c>
      <c r="AO131" s="150">
        <f t="shared" si="314"/>
        <v>48554693.548000038</v>
      </c>
      <c r="AP131" s="219"/>
      <c r="AQ131" s="142"/>
      <c r="AR131" s="165"/>
    </row>
    <row r="132" spans="1:44" ht="15.75" thickBot="1" x14ac:dyDescent="0.3">
      <c r="A132" s="230"/>
      <c r="B132" s="230"/>
      <c r="C132" s="230"/>
      <c r="D132" s="230"/>
      <c r="E132" s="152">
        <v>5</v>
      </c>
      <c r="F132" s="153">
        <f>+H118</f>
        <v>45.515000000000001</v>
      </c>
      <c r="G132" s="152">
        <v>2</v>
      </c>
      <c r="H132" s="169">
        <f>+H131</f>
        <v>44.89</v>
      </c>
      <c r="I132" s="154">
        <f>+I131</f>
        <v>75</v>
      </c>
      <c r="J132" s="155">
        <f t="shared" si="288"/>
        <v>8.3333333333333332E-3</v>
      </c>
      <c r="K132" s="154">
        <f>+K131</f>
        <v>1460</v>
      </c>
      <c r="L132" s="153">
        <f t="shared" si="289"/>
        <v>16.808499999999999</v>
      </c>
      <c r="M132" s="156">
        <f t="shared" si="304"/>
        <v>1.6808499999999997E-2</v>
      </c>
      <c r="N132" s="156">
        <f t="shared" si="176"/>
        <v>0.1459742106118892</v>
      </c>
      <c r="O132" s="156">
        <f t="shared" si="177"/>
        <v>5.7470161658224095</v>
      </c>
      <c r="P132" s="157">
        <f t="shared" si="182"/>
        <v>6</v>
      </c>
      <c r="Q132" s="113">
        <f>IF(O132&gt;0,VLOOKUP(P132,'$ alcantarillado'!$I$5:$L$22,4,FALSE),"0")</f>
        <v>0.14499999999999999</v>
      </c>
      <c r="R132" s="160">
        <f t="shared" si="178"/>
        <v>1.6511021265327393E-2</v>
      </c>
      <c r="S132" s="146">
        <f t="shared" si="179"/>
        <v>1.0180169796823713</v>
      </c>
      <c r="T132" s="145">
        <f>+IF(S132&gt;$B$13,VLOOKUP(P132,'$ alcantarillado'!$I$6:$N$22,5),P132)</f>
        <v>8</v>
      </c>
      <c r="U132" s="113">
        <f>IF(O132&gt;0,VLOOKUP(T132,'$ alcantarillado'!$I$5:$L$22,4),"0")</f>
        <v>0.182</v>
      </c>
      <c r="V132" s="113">
        <f t="shared" si="180"/>
        <v>3.0267947040598951E-2</v>
      </c>
      <c r="W132" s="146">
        <f t="shared" si="273"/>
        <v>0.55532342439526694</v>
      </c>
      <c r="X132" s="146">
        <f t="shared" si="305"/>
        <v>1.1634569227762415</v>
      </c>
      <c r="Y132" s="113">
        <f>IF(T132&gt;0,(VLOOKUP($W132,Relaciones!$A$4:$D$108,2)),"")</f>
        <v>0.875</v>
      </c>
      <c r="Z132" s="146">
        <f t="shared" si="306"/>
        <v>1.0180248074292113</v>
      </c>
      <c r="AA132" s="146">
        <f t="shared" si="307"/>
        <v>0.37916666666666665</v>
      </c>
      <c r="AB132" s="147" t="str">
        <f t="shared" si="308"/>
        <v>OK</v>
      </c>
      <c r="AC132" s="147" t="str">
        <f t="shared" si="309"/>
        <v>OK</v>
      </c>
      <c r="AD132" s="147" t="str">
        <f t="shared" si="310"/>
        <v>OK</v>
      </c>
      <c r="AE132" s="148">
        <f t="shared" si="311"/>
        <v>1</v>
      </c>
      <c r="AF132" s="148">
        <f t="shared" si="311"/>
        <v>1</v>
      </c>
      <c r="AG132" s="148">
        <f t="shared" si="311"/>
        <v>1</v>
      </c>
      <c r="AH132" s="148">
        <f t="shared" si="312"/>
        <v>3</v>
      </c>
      <c r="AI132" s="147">
        <f t="shared" si="313"/>
        <v>0.68199999999999994</v>
      </c>
      <c r="AJ132" s="158">
        <f>IF(AI132&gt;0,I132*VLOOKUP(T132,'$ alcantarillado'!$I$6:$K$22,3),0)</f>
        <v>2488675</v>
      </c>
      <c r="AK132" s="149">
        <f t="shared" si="286"/>
        <v>5015973.6000000034</v>
      </c>
      <c r="AL132" s="149">
        <f t="shared" si="287"/>
        <v>2622314.6170000019</v>
      </c>
      <c r="AM132" s="158">
        <f t="shared" si="300"/>
        <v>10126963.217000006</v>
      </c>
      <c r="AN132" s="167">
        <f>+AP118</f>
        <v>38688115.45600003</v>
      </c>
      <c r="AO132" s="159">
        <f t="shared" si="314"/>
        <v>48815078.673000038</v>
      </c>
      <c r="AP132" s="220"/>
      <c r="AQ132" s="154"/>
      <c r="AR132" s="166"/>
    </row>
    <row r="133" spans="1:44" x14ac:dyDescent="0.25">
      <c r="A133" s="230"/>
      <c r="B133" s="230"/>
      <c r="C133" s="230"/>
      <c r="D133" s="230"/>
      <c r="E133" s="127">
        <v>1</v>
      </c>
      <c r="F133" s="129">
        <f>+H98</f>
        <v>46.015000000000001</v>
      </c>
      <c r="G133" s="127">
        <v>3</v>
      </c>
      <c r="H133" s="136">
        <f>+'LOGIKA AN-3'!H128</f>
        <v>44.765000000000001</v>
      </c>
      <c r="I133" s="129">
        <f t="shared" ref="I133" si="317">+I132</f>
        <v>75</v>
      </c>
      <c r="J133" s="143">
        <f>+(F133-H133)/I133</f>
        <v>1.6666666666666666E-2</v>
      </c>
      <c r="K133" s="129">
        <f t="shared" ref="K133" si="318">+K132</f>
        <v>1460</v>
      </c>
      <c r="L133" s="132">
        <f>IF(K133&lt;38,K133^0.3686*0.7401,IF(K133&lt;235,K133^0.4193*0.6215,IF(K133&lt;932,K133*0.0092+4.2493,K133*0.0069+6.7345)))</f>
        <v>16.808499999999999</v>
      </c>
      <c r="M133" s="133">
        <f>+L133/1000</f>
        <v>1.6808499999999997E-2</v>
      </c>
      <c r="N133" s="133">
        <f t="shared" si="176"/>
        <v>0.12818376137295873</v>
      </c>
      <c r="O133" s="133">
        <f t="shared" si="177"/>
        <v>5.0466047784629424</v>
      </c>
      <c r="P133" s="134">
        <f t="shared" si="182"/>
        <v>6</v>
      </c>
      <c r="Q133" s="135">
        <f>IF(O133&gt;0,VLOOKUP(P133,'$ alcantarillado'!$I$5:$L$22,4,FALSE),"0")</f>
        <v>0.14499999999999999</v>
      </c>
      <c r="R133" s="135">
        <f t="shared" si="178"/>
        <v>2.335011020205658E-2</v>
      </c>
      <c r="S133" s="136">
        <f t="shared" si="179"/>
        <v>0.71984670969645248</v>
      </c>
      <c r="T133" s="134">
        <f>+IF(S133&gt;$B$13,VLOOKUP(P133,'$ alcantarillado'!$I$6:$N$22,5),P133)</f>
        <v>6</v>
      </c>
      <c r="U133" s="135">
        <f>IF(O133&gt;0,VLOOKUP(T133,'$ alcantarillado'!$I$5:$L$22,4),"0")</f>
        <v>0.14499999999999999</v>
      </c>
      <c r="V133" s="135">
        <f t="shared" si="180"/>
        <v>2.335011020205658E-2</v>
      </c>
      <c r="W133" s="136">
        <f t="shared" si="273"/>
        <v>0.71984670969645248</v>
      </c>
      <c r="X133" s="136">
        <f>IF(T133&gt;0,4*V133/(PI()*(U133)^2),"")</f>
        <v>1.4140444082369752</v>
      </c>
      <c r="Y133" s="135">
        <f>IF(T133&gt;0,(VLOOKUP($W133,Relaciones!$A$4:$D$108,2)),"")</f>
        <v>0.95099999999999996</v>
      </c>
      <c r="Z133" s="136">
        <f>IF(T133&gt;0,Y133*X133,"")</f>
        <v>1.3447562322333633</v>
      </c>
      <c r="AA133" s="136">
        <f>IF(T133&gt;0,250*U133*J133,"")</f>
        <v>0.60416666666666663</v>
      </c>
      <c r="AB133" s="137" t="str">
        <f>IF(T133&gt;0,IF(W133&lt;=$B$13,"OK","No Cumple"),"")</f>
        <v>OK</v>
      </c>
      <c r="AC133" s="137" t="str">
        <f>IF(T133&gt;0,IF(Z133&gt;=$B$12,"OK","No Cumple"),"")</f>
        <v>OK</v>
      </c>
      <c r="AD133" s="137" t="str">
        <f>IF(T133&gt;0,IF(AA133&gt;$B$14,"OK","No Cumple"),"")</f>
        <v>OK</v>
      </c>
      <c r="AE133" s="138">
        <f>+IF(AB133="OK",1,0)</f>
        <v>1</v>
      </c>
      <c r="AF133" s="138">
        <f>+IF(AC133="OK",1,0)</f>
        <v>1</v>
      </c>
      <c r="AG133" s="138">
        <f>+IF(AD133="OK",1,0)</f>
        <v>1</v>
      </c>
      <c r="AH133" s="138">
        <f>SUM(AE133:AG133)</f>
        <v>3</v>
      </c>
      <c r="AI133" s="137">
        <f>IF(AH133=3,2*$B$7+U133,0)</f>
        <v>0.64500000000000002</v>
      </c>
      <c r="AJ133" s="139">
        <f>IF(AI133&gt;0,I133*VLOOKUP(T133,'$ alcantarillado'!$I$6:$K$22,3),0)</f>
        <v>1792662.5</v>
      </c>
      <c r="AK133" s="139">
        <f t="shared" si="286"/>
        <v>4314566.2500000037</v>
      </c>
      <c r="AL133" s="139">
        <f t="shared" si="287"/>
        <v>2247498.8200000022</v>
      </c>
      <c r="AM133" s="139">
        <f>IF(AJ133&gt;0,AJ133+AK133+AL133,0)</f>
        <v>8354727.5700000059</v>
      </c>
      <c r="AN133" s="162">
        <f>IF(AP98&gt;0,+AP98,0)</f>
        <v>39502701.926333368</v>
      </c>
      <c r="AO133" s="140">
        <f>IF((AM133)&gt;0,IF(AN133&gt;0,AM133+AN133,""),"")</f>
        <v>47857429.496333376</v>
      </c>
      <c r="AP133" s="225">
        <f t="shared" ref="AP133" si="319">+MIN(AO133:AO137)</f>
        <v>47318925.776000038</v>
      </c>
      <c r="AQ133" s="129"/>
      <c r="AR133" s="163"/>
    </row>
    <row r="134" spans="1:44" x14ac:dyDescent="0.25">
      <c r="A134" s="230"/>
      <c r="B134" s="230"/>
      <c r="C134" s="230"/>
      <c r="D134" s="230"/>
      <c r="E134" s="141">
        <v>2</v>
      </c>
      <c r="F134" s="142">
        <f>+H103</f>
        <v>45.89</v>
      </c>
      <c r="G134" s="141">
        <v>3</v>
      </c>
      <c r="H134" s="146">
        <f>+H133</f>
        <v>44.765000000000001</v>
      </c>
      <c r="I134" s="142">
        <f>+I133</f>
        <v>75</v>
      </c>
      <c r="J134" s="143">
        <f t="shared" si="288"/>
        <v>1.4999999999999999E-2</v>
      </c>
      <c r="K134" s="142">
        <f>+K133</f>
        <v>1460</v>
      </c>
      <c r="L134" s="128">
        <f t="shared" si="289"/>
        <v>16.808499999999999</v>
      </c>
      <c r="M134" s="144">
        <f t="shared" ref="M134:M137" si="320">+L134/1000</f>
        <v>1.6808499999999997E-2</v>
      </c>
      <c r="N134" s="144">
        <f t="shared" si="176"/>
        <v>0.13074122224264353</v>
      </c>
      <c r="O134" s="144">
        <f t="shared" si="177"/>
        <v>5.1472922142773045</v>
      </c>
      <c r="P134" s="145">
        <f t="shared" si="182"/>
        <v>6</v>
      </c>
      <c r="Q134" s="113">
        <f>IF(O134&gt;0,VLOOKUP(P134,'$ alcantarillado'!$I$5:$L$22,4,FALSE),"0")</f>
        <v>0.14499999999999999</v>
      </c>
      <c r="R134" s="113">
        <f t="shared" si="178"/>
        <v>2.2151859556329985E-2</v>
      </c>
      <c r="S134" s="146">
        <f t="shared" si="179"/>
        <v>0.7587850562729348</v>
      </c>
      <c r="T134" s="145">
        <f>+IF(S134&gt;$B$13,VLOOKUP(P134,'$ alcantarillado'!$I$6:$N$22,5),P134)</f>
        <v>6</v>
      </c>
      <c r="U134" s="113">
        <f>IF(O134&gt;0,VLOOKUP(T134,'$ alcantarillado'!$I$5:$L$22,4),"0")</f>
        <v>0.14499999999999999</v>
      </c>
      <c r="V134" s="113">
        <f t="shared" si="180"/>
        <v>2.2151859556329985E-2</v>
      </c>
      <c r="W134" s="146">
        <f t="shared" si="273"/>
        <v>0.7587850562729348</v>
      </c>
      <c r="X134" s="146">
        <f t="shared" ref="X134:X137" si="321">IF(T134&gt;0,4*V134/(PI()*(U134)^2),"")</f>
        <v>1.3414803127961406</v>
      </c>
      <c r="Y134" s="113">
        <f>IF(T134&gt;0,(VLOOKUP($W134,Relaciones!$A$4:$D$108,2)),"")</f>
        <v>0.96499999999999997</v>
      </c>
      <c r="Z134" s="146">
        <f t="shared" ref="Z134:Z137" si="322">IF(T134&gt;0,Y134*X134,"")</f>
        <v>1.2945285018482755</v>
      </c>
      <c r="AA134" s="146">
        <f t="shared" ref="AA134:AA137" si="323">IF(T134&gt;0,250*U134*J134,"")</f>
        <v>0.54374999999999996</v>
      </c>
      <c r="AB134" s="147" t="str">
        <f t="shared" ref="AB134:AB137" si="324">IF(T134&gt;0,IF(W134&lt;=$B$13,"OK","No Cumple"),"")</f>
        <v>OK</v>
      </c>
      <c r="AC134" s="147" t="str">
        <f t="shared" ref="AC134:AC137" si="325">IF(T134&gt;0,IF(Z134&gt;=$B$12,"OK","No Cumple"),"")</f>
        <v>OK</v>
      </c>
      <c r="AD134" s="147" t="str">
        <f t="shared" ref="AD134:AD137" si="326">IF(T134&gt;0,IF(AA134&gt;$B$14,"OK","No Cumple"),"")</f>
        <v>OK</v>
      </c>
      <c r="AE134" s="148">
        <f t="shared" ref="AE134:AG137" si="327">+IF(AB134="OK",1,0)</f>
        <v>1</v>
      </c>
      <c r="AF134" s="148">
        <f t="shared" si="327"/>
        <v>1</v>
      </c>
      <c r="AG134" s="148">
        <f t="shared" si="327"/>
        <v>1</v>
      </c>
      <c r="AH134" s="148">
        <f t="shared" ref="AH134:AH137" si="328">SUM(AE134:AG134)</f>
        <v>3</v>
      </c>
      <c r="AI134" s="147">
        <f t="shared" ref="AI134:AI137" si="329">IF(AH134=3,2*$B$7+U134,0)</f>
        <v>0.64500000000000002</v>
      </c>
      <c r="AJ134" s="149">
        <f>IF(AI134&gt;0,I134*VLOOKUP(T134,'$ alcantarillado'!$I$6:$K$22,3),0)</f>
        <v>1792662.5</v>
      </c>
      <c r="AK134" s="149">
        <f t="shared" si="286"/>
        <v>4423410.0000000037</v>
      </c>
      <c r="AL134" s="149">
        <f t="shared" si="287"/>
        <v>2334746.4450000022</v>
      </c>
      <c r="AM134" s="149">
        <f t="shared" si="300"/>
        <v>8550818.9450000059</v>
      </c>
      <c r="AN134" s="164">
        <f>+AP103</f>
        <v>39564081.926333368</v>
      </c>
      <c r="AO134" s="150">
        <f t="shared" ref="AO134:AO137" si="330">IF((AM134)&gt;0,IF(AN134&gt;0,AM134+AN134,""),"")</f>
        <v>48114900.871333376</v>
      </c>
      <c r="AP134" s="226"/>
      <c r="AQ134" s="142"/>
      <c r="AR134" s="165"/>
    </row>
    <row r="135" spans="1:44" x14ac:dyDescent="0.25">
      <c r="A135" s="230"/>
      <c r="B135" s="230"/>
      <c r="C135" s="230"/>
      <c r="D135" s="230"/>
      <c r="E135" s="151">
        <v>3</v>
      </c>
      <c r="F135" s="142">
        <f>+H108</f>
        <v>45.765000000000001</v>
      </c>
      <c r="G135" s="151">
        <v>3</v>
      </c>
      <c r="H135" s="146">
        <f t="shared" ref="H135:I136" si="331">+H134</f>
        <v>44.765000000000001</v>
      </c>
      <c r="I135" s="142">
        <f t="shared" si="331"/>
        <v>75</v>
      </c>
      <c r="J135" s="143">
        <f t="shared" si="288"/>
        <v>1.3333333333333334E-2</v>
      </c>
      <c r="K135" s="142">
        <f t="shared" ref="K135:K136" si="332">+K134</f>
        <v>1460</v>
      </c>
      <c r="L135" s="128">
        <f t="shared" si="289"/>
        <v>16.808499999999999</v>
      </c>
      <c r="M135" s="144">
        <f t="shared" si="320"/>
        <v>1.6808499999999997E-2</v>
      </c>
      <c r="N135" s="144">
        <f t="shared" si="176"/>
        <v>0.13366067149544208</v>
      </c>
      <c r="O135" s="144">
        <f t="shared" si="177"/>
        <v>5.2622311612378772</v>
      </c>
      <c r="P135" s="145">
        <f t="shared" si="182"/>
        <v>6</v>
      </c>
      <c r="Q135" s="113">
        <f>IF(O135&gt;0,VLOOKUP(P135,'$ alcantarillado'!$I$5:$L$22,4,FALSE),"0")</f>
        <v>0.14499999999999999</v>
      </c>
      <c r="R135" s="113">
        <f t="shared" si="178"/>
        <v>2.0884973477563944E-2</v>
      </c>
      <c r="S135" s="146">
        <f t="shared" si="179"/>
        <v>0.80481308813041241</v>
      </c>
      <c r="T135" s="145">
        <f>+IF(S135&gt;$B$13,VLOOKUP(P135,'$ alcantarillado'!$I$6:$N$22,5),P135)</f>
        <v>6</v>
      </c>
      <c r="U135" s="113">
        <f>IF(O135&gt;0,VLOOKUP(T135,'$ alcantarillado'!$I$5:$L$22,4),"0")</f>
        <v>0.14499999999999999</v>
      </c>
      <c r="V135" s="113">
        <f t="shared" si="180"/>
        <v>2.0884973477563944E-2</v>
      </c>
      <c r="W135" s="146">
        <f t="shared" si="273"/>
        <v>0.80481308813041241</v>
      </c>
      <c r="X135" s="146">
        <f t="shared" si="321"/>
        <v>1.2647597680085358</v>
      </c>
      <c r="Y135" s="113">
        <f>IF(T135&gt;0,(VLOOKUP($W135,Relaciones!$A$4:$D$108,2)),"")</f>
        <v>0.98399999999999999</v>
      </c>
      <c r="Z135" s="146">
        <f t="shared" si="322"/>
        <v>1.2445236117203993</v>
      </c>
      <c r="AA135" s="146">
        <f t="shared" si="323"/>
        <v>0.48333333333333334</v>
      </c>
      <c r="AB135" s="147" t="str">
        <f t="shared" si="324"/>
        <v>OK</v>
      </c>
      <c r="AC135" s="147" t="str">
        <f t="shared" si="325"/>
        <v>OK</v>
      </c>
      <c r="AD135" s="147" t="str">
        <f t="shared" si="326"/>
        <v>OK</v>
      </c>
      <c r="AE135" s="148">
        <f t="shared" si="327"/>
        <v>1</v>
      </c>
      <c r="AF135" s="148">
        <f t="shared" si="327"/>
        <v>1</v>
      </c>
      <c r="AG135" s="148">
        <f t="shared" si="327"/>
        <v>1</v>
      </c>
      <c r="AH135" s="148">
        <f t="shared" si="328"/>
        <v>3</v>
      </c>
      <c r="AI135" s="147">
        <f t="shared" si="329"/>
        <v>0.64500000000000002</v>
      </c>
      <c r="AJ135" s="149">
        <f>IF(AI135&gt;0,I135*VLOOKUP(T135,'$ alcantarillado'!$I$6:$K$22,3),0)</f>
        <v>1792662.5</v>
      </c>
      <c r="AK135" s="149">
        <f t="shared" si="286"/>
        <v>4532253.7500000037</v>
      </c>
      <c r="AL135" s="149">
        <f t="shared" si="287"/>
        <v>2421994.0700000022</v>
      </c>
      <c r="AM135" s="149">
        <f t="shared" si="300"/>
        <v>8746910.3200000059</v>
      </c>
      <c r="AN135" s="164">
        <f>+AP108</f>
        <v>38572015.45600003</v>
      </c>
      <c r="AO135" s="161">
        <f t="shared" si="330"/>
        <v>47318925.776000038</v>
      </c>
      <c r="AP135" s="227"/>
      <c r="AQ135" s="142"/>
      <c r="AR135" s="165"/>
    </row>
    <row r="136" spans="1:44" x14ac:dyDescent="0.25">
      <c r="A136" s="230"/>
      <c r="B136" s="230"/>
      <c r="C136" s="230"/>
      <c r="D136" s="230"/>
      <c r="E136" s="151">
        <v>4</v>
      </c>
      <c r="F136" s="142">
        <f>+H113</f>
        <v>45.64</v>
      </c>
      <c r="G136" s="151">
        <v>3</v>
      </c>
      <c r="H136" s="146">
        <f t="shared" si="331"/>
        <v>44.765000000000001</v>
      </c>
      <c r="I136" s="142">
        <f t="shared" si="331"/>
        <v>75</v>
      </c>
      <c r="J136" s="143">
        <f>+(F136-H136)/I136</f>
        <v>1.1666666666666667E-2</v>
      </c>
      <c r="K136" s="142">
        <f t="shared" si="332"/>
        <v>1460</v>
      </c>
      <c r="L136" s="128">
        <f t="shared" si="289"/>
        <v>16.808499999999999</v>
      </c>
      <c r="M136" s="144">
        <f t="shared" si="320"/>
        <v>1.6808499999999997E-2</v>
      </c>
      <c r="N136" s="144">
        <f t="shared" si="176"/>
        <v>0.13704939689167578</v>
      </c>
      <c r="O136" s="144">
        <f t="shared" si="177"/>
        <v>5.3956455469163691</v>
      </c>
      <c r="P136" s="145">
        <f t="shared" si="182"/>
        <v>6</v>
      </c>
      <c r="Q136" s="113">
        <f>IF(O136&gt;0,VLOOKUP(P136,'$ alcantarillado'!$I$5:$L$22,4,FALSE),"0")</f>
        <v>0.14499999999999999</v>
      </c>
      <c r="R136" s="113">
        <f t="shared" si="178"/>
        <v>1.9536103821226249E-2</v>
      </c>
      <c r="S136" s="146">
        <f t="shared" si="179"/>
        <v>0.8603813817644298</v>
      </c>
      <c r="T136" s="145">
        <f>+IF(S136&gt;$B$13,VLOOKUP(P136,'$ alcantarillado'!$I$6:$N$22,5),P136)</f>
        <v>8</v>
      </c>
      <c r="U136" s="113">
        <f>IF(O136&gt;0,VLOOKUP(T136,'$ alcantarillado'!$I$5:$L$22,4),"0")</f>
        <v>0.182</v>
      </c>
      <c r="V136" s="113">
        <f t="shared" si="180"/>
        <v>3.5813517912563465E-2</v>
      </c>
      <c r="W136" s="146">
        <f t="shared" si="273"/>
        <v>0.46933395487806956</v>
      </c>
      <c r="X136" s="146">
        <f t="shared" si="321"/>
        <v>1.3766207958687628</v>
      </c>
      <c r="Y136" s="113">
        <f>IF(T136&gt;0,(VLOOKUP($W136,Relaciones!$A$4:$D$108,2)),"")</f>
        <v>0.83</v>
      </c>
      <c r="Z136" s="146">
        <f t="shared" si="322"/>
        <v>1.1425952605710732</v>
      </c>
      <c r="AA136" s="146">
        <f t="shared" si="323"/>
        <v>0.53083333333333338</v>
      </c>
      <c r="AB136" s="147" t="str">
        <f t="shared" si="324"/>
        <v>OK</v>
      </c>
      <c r="AC136" s="147" t="str">
        <f t="shared" si="325"/>
        <v>OK</v>
      </c>
      <c r="AD136" s="147" t="str">
        <f t="shared" si="326"/>
        <v>OK</v>
      </c>
      <c r="AE136" s="148">
        <f t="shared" si="327"/>
        <v>1</v>
      </c>
      <c r="AF136" s="148">
        <f t="shared" si="327"/>
        <v>1</v>
      </c>
      <c r="AG136" s="148">
        <f t="shared" si="327"/>
        <v>1</v>
      </c>
      <c r="AH136" s="148">
        <f t="shared" si="328"/>
        <v>3</v>
      </c>
      <c r="AI136" s="147">
        <f t="shared" si="329"/>
        <v>0.68199999999999994</v>
      </c>
      <c r="AJ136" s="149">
        <f>IF(AI136&gt;0,I136*VLOOKUP(T136,'$ alcantarillado'!$I$6:$K$22,3),0)</f>
        <v>2488675</v>
      </c>
      <c r="AK136" s="149">
        <f t="shared" si="286"/>
        <v>4958429.8500000034</v>
      </c>
      <c r="AL136" s="149">
        <f t="shared" si="287"/>
        <v>2535066.9920000019</v>
      </c>
      <c r="AM136" s="149">
        <f t="shared" si="300"/>
        <v>9982171.8420000058</v>
      </c>
      <c r="AN136" s="164">
        <f>+AP113</f>
        <v>38630065.45600003</v>
      </c>
      <c r="AO136" s="150">
        <f t="shared" si="330"/>
        <v>48612237.298000038</v>
      </c>
      <c r="AP136" s="227"/>
      <c r="AQ136" s="142">
        <v>1</v>
      </c>
      <c r="AR136" s="165">
        <v>3</v>
      </c>
    </row>
    <row r="137" spans="1:44" ht="15.75" thickBot="1" x14ac:dyDescent="0.3">
      <c r="A137" s="230"/>
      <c r="B137" s="230"/>
      <c r="C137" s="230"/>
      <c r="D137" s="230"/>
      <c r="E137" s="152">
        <v>5</v>
      </c>
      <c r="F137" s="153">
        <f>+H118</f>
        <v>45.515000000000001</v>
      </c>
      <c r="G137" s="152">
        <v>3</v>
      </c>
      <c r="H137" s="169">
        <f>+H136</f>
        <v>44.765000000000001</v>
      </c>
      <c r="I137" s="154">
        <f>+I136</f>
        <v>75</v>
      </c>
      <c r="J137" s="155">
        <f t="shared" si="288"/>
        <v>0.01</v>
      </c>
      <c r="K137" s="154">
        <f>+K136</f>
        <v>1460</v>
      </c>
      <c r="L137" s="153">
        <f t="shared" si="289"/>
        <v>16.808499999999999</v>
      </c>
      <c r="M137" s="156">
        <f t="shared" si="320"/>
        <v>1.6808499999999997E-2</v>
      </c>
      <c r="N137" s="156">
        <f t="shared" si="176"/>
        <v>0.14106837114124132</v>
      </c>
      <c r="O137" s="156">
        <f t="shared" si="177"/>
        <v>5.5538728795764305</v>
      </c>
      <c r="P137" s="157">
        <f t="shared" si="182"/>
        <v>6</v>
      </c>
      <c r="Q137" s="113">
        <f>IF(O137&gt;0,VLOOKUP(P137,'$ alcantarillado'!$I$5:$L$22,4,FALSE),"0")</f>
        <v>0.14499999999999999</v>
      </c>
      <c r="R137" s="160">
        <f t="shared" si="178"/>
        <v>1.8086917588934607E-2</v>
      </c>
      <c r="S137" s="146">
        <f t="shared" si="179"/>
        <v>0.92931810615885524</v>
      </c>
      <c r="T137" s="145">
        <f>+IF(S137&gt;$B$13,VLOOKUP(P137,'$ alcantarillado'!$I$6:$N$22,5),P137)</f>
        <v>8</v>
      </c>
      <c r="U137" s="113">
        <f>IF(O137&gt;0,VLOOKUP(T137,'$ alcantarillado'!$I$5:$L$22,4),"0")</f>
        <v>0.182</v>
      </c>
      <c r="V137" s="113">
        <f t="shared" si="180"/>
        <v>3.3156874727015569E-2</v>
      </c>
      <c r="W137" s="146">
        <f t="shared" si="273"/>
        <v>0.50693861042050392</v>
      </c>
      <c r="X137" s="146">
        <f t="shared" si="321"/>
        <v>1.2745032025801872</v>
      </c>
      <c r="Y137" s="113">
        <f>IF(T137&gt;0,(VLOOKUP($W137,Relaciones!$A$4:$D$108,2)),"")</f>
        <v>0.85</v>
      </c>
      <c r="Z137" s="146">
        <f t="shared" si="322"/>
        <v>1.0833277221931592</v>
      </c>
      <c r="AA137" s="146">
        <f t="shared" si="323"/>
        <v>0.45500000000000002</v>
      </c>
      <c r="AB137" s="147" t="str">
        <f t="shared" si="324"/>
        <v>OK</v>
      </c>
      <c r="AC137" s="147" t="str">
        <f t="shared" si="325"/>
        <v>OK</v>
      </c>
      <c r="AD137" s="147" t="str">
        <f t="shared" si="326"/>
        <v>OK</v>
      </c>
      <c r="AE137" s="148">
        <f t="shared" si="327"/>
        <v>1</v>
      </c>
      <c r="AF137" s="148">
        <f t="shared" si="327"/>
        <v>1</v>
      </c>
      <c r="AG137" s="148">
        <f t="shared" si="327"/>
        <v>1</v>
      </c>
      <c r="AH137" s="148">
        <f t="shared" si="328"/>
        <v>3</v>
      </c>
      <c r="AI137" s="147">
        <f t="shared" si="329"/>
        <v>0.68199999999999994</v>
      </c>
      <c r="AJ137" s="158">
        <f>IF(AI137&gt;0,I137*VLOOKUP(T137,'$ alcantarillado'!$I$6:$K$22,3),0)</f>
        <v>2488675</v>
      </c>
      <c r="AK137" s="149">
        <f t="shared" si="286"/>
        <v>5073517.3500000034</v>
      </c>
      <c r="AL137" s="149">
        <f t="shared" si="287"/>
        <v>2622314.6170000019</v>
      </c>
      <c r="AM137" s="158">
        <f t="shared" si="300"/>
        <v>10184506.967000006</v>
      </c>
      <c r="AN137" s="167">
        <f>+AP118</f>
        <v>38688115.45600003</v>
      </c>
      <c r="AO137" s="159">
        <f t="shared" si="330"/>
        <v>48872622.423000038</v>
      </c>
      <c r="AP137" s="228"/>
      <c r="AQ137" s="154"/>
      <c r="AR137" s="166"/>
    </row>
    <row r="138" spans="1:44" x14ac:dyDescent="0.25">
      <c r="A138" s="230"/>
      <c r="B138" s="230"/>
      <c r="C138" s="230"/>
      <c r="D138" s="230"/>
      <c r="E138" s="127">
        <v>1</v>
      </c>
      <c r="F138" s="129">
        <f>+H98</f>
        <v>46.015000000000001</v>
      </c>
      <c r="G138" s="127">
        <v>4</v>
      </c>
      <c r="H138" s="132">
        <f>+H133-$B$15</f>
        <v>44.64</v>
      </c>
      <c r="I138" s="142">
        <f>+I133</f>
        <v>75</v>
      </c>
      <c r="J138" s="143">
        <f>+(F138-H138)/I138</f>
        <v>1.8333333333333333E-2</v>
      </c>
      <c r="K138" s="142">
        <f>+K133</f>
        <v>1460</v>
      </c>
      <c r="L138" s="132">
        <f>IF(K138&lt;38,K138^0.3686*0.7401,IF(K138&lt;235,K138^0.4193*0.6215,IF(K138&lt;932,K138*0.0092+4.2493,K138*0.0069+6.7345)))</f>
        <v>16.808499999999999</v>
      </c>
      <c r="M138" s="133">
        <f>+L138/1000</f>
        <v>1.6808499999999997E-2</v>
      </c>
      <c r="N138" s="133">
        <f t="shared" si="176"/>
        <v>0.1259133801470671</v>
      </c>
      <c r="O138" s="133">
        <f t="shared" si="177"/>
        <v>4.9572196908294135</v>
      </c>
      <c r="P138" s="134">
        <f t="shared" si="182"/>
        <v>6</v>
      </c>
      <c r="Q138" s="135">
        <f>IF(O138&gt;0,VLOOKUP(P138,'$ alcantarillado'!$I$5:$L$22,4,FALSE),"0")</f>
        <v>0.14499999999999999</v>
      </c>
      <c r="R138" s="135">
        <f t="shared" si="178"/>
        <v>2.4489802185665068E-2</v>
      </c>
      <c r="S138" s="136">
        <f t="shared" si="179"/>
        <v>0.68634690768709983</v>
      </c>
      <c r="T138" s="134">
        <f>+IF(S138&gt;$B$13,VLOOKUP(P138,'$ alcantarillado'!$I$6:$N$22,5),P138)</f>
        <v>6</v>
      </c>
      <c r="U138" s="135">
        <f>IF(O138&gt;0,VLOOKUP(T138,'$ alcantarillado'!$I$5:$L$22,4),"0")</f>
        <v>0.14499999999999999</v>
      </c>
      <c r="V138" s="135">
        <f t="shared" si="180"/>
        <v>2.4489802185665068E-2</v>
      </c>
      <c r="W138" s="136">
        <f t="shared" si="273"/>
        <v>0.68634690768709983</v>
      </c>
      <c r="X138" s="136">
        <f>IF(T138&gt;0,4*V138/(PI()*(U138)^2),"")</f>
        <v>1.4830622870644654</v>
      </c>
      <c r="Y138" s="135">
        <f>IF(T138&gt;0,(VLOOKUP($W138,Relaciones!$A$4:$D$108,2)),"")</f>
        <v>0.93600000000000005</v>
      </c>
      <c r="Z138" s="136">
        <f>IF(T138&gt;0,Y138*X138,"")</f>
        <v>1.3881463006923398</v>
      </c>
      <c r="AA138" s="136">
        <f>IF(T138&gt;0,250*U138*J138,"")</f>
        <v>0.6645833333333333</v>
      </c>
      <c r="AB138" s="137" t="str">
        <f>IF(T138&gt;0,IF(W138&lt;=$B$13,"OK","No Cumple"),"")</f>
        <v>OK</v>
      </c>
      <c r="AC138" s="137" t="str">
        <f>IF(T138&gt;0,IF(Z138&gt;=$B$12,"OK","No Cumple"),"")</f>
        <v>OK</v>
      </c>
      <c r="AD138" s="137" t="str">
        <f>IF(T138&gt;0,IF(AA138&gt;$B$14,"OK","No Cumple"),"")</f>
        <v>OK</v>
      </c>
      <c r="AE138" s="138">
        <f>+IF(AB138="OK",1,0)</f>
        <v>1</v>
      </c>
      <c r="AF138" s="138">
        <f>+IF(AC138="OK",1,0)</f>
        <v>1</v>
      </c>
      <c r="AG138" s="138">
        <f>+IF(AD138="OK",1,0)</f>
        <v>1</v>
      </c>
      <c r="AH138" s="138">
        <f>SUM(AE138:AG138)</f>
        <v>3</v>
      </c>
      <c r="AI138" s="137">
        <f>IF(AH138=3,2*$B$7+U138,0)</f>
        <v>0.64500000000000002</v>
      </c>
      <c r="AJ138" s="139">
        <f>IF(AI138&gt;0,I138*VLOOKUP(T138,'$ alcantarillado'!$I$6:$K$22,3),0)</f>
        <v>1792662.5</v>
      </c>
      <c r="AK138" s="139">
        <f t="shared" si="286"/>
        <v>4368988.1250000037</v>
      </c>
      <c r="AL138" s="139">
        <f t="shared" si="287"/>
        <v>2247498.8200000022</v>
      </c>
      <c r="AM138" s="139">
        <f>IF(AJ138&gt;0,AJ138+AK138+AL138,0)</f>
        <v>8409149.4450000059</v>
      </c>
      <c r="AN138" s="162">
        <f>IF(AP98&gt;0,+AP98,0)</f>
        <v>39502701.926333368</v>
      </c>
      <c r="AO138" s="140">
        <f>IF((AM138)&gt;0,IF(AN138&gt;0,AM138+AN138,""),"")</f>
        <v>47911851.371333376</v>
      </c>
      <c r="AP138" s="217">
        <f>+MIN(AO138:AO142)</f>
        <v>47373347.651000038</v>
      </c>
      <c r="AQ138" s="129"/>
      <c r="AR138" s="163"/>
    </row>
    <row r="139" spans="1:44" x14ac:dyDescent="0.25">
      <c r="A139" s="230"/>
      <c r="B139" s="230"/>
      <c r="C139" s="230"/>
      <c r="D139" s="230"/>
      <c r="E139" s="141">
        <v>2</v>
      </c>
      <c r="F139" s="142">
        <f>+H103</f>
        <v>45.89</v>
      </c>
      <c r="G139" s="141">
        <v>4</v>
      </c>
      <c r="H139" s="128">
        <f>+H138</f>
        <v>44.64</v>
      </c>
      <c r="I139" s="142">
        <f>+I138</f>
        <v>75</v>
      </c>
      <c r="J139" s="143">
        <f t="shared" si="288"/>
        <v>1.6666666666666666E-2</v>
      </c>
      <c r="K139" s="142">
        <f>+K138</f>
        <v>1460</v>
      </c>
      <c r="L139" s="128">
        <f t="shared" si="289"/>
        <v>16.808499999999999</v>
      </c>
      <c r="M139" s="144">
        <f t="shared" ref="M139:M142" si="333">+L139/1000</f>
        <v>1.6808499999999997E-2</v>
      </c>
      <c r="N139" s="144">
        <f t="shared" si="176"/>
        <v>0.12818376137295873</v>
      </c>
      <c r="O139" s="144">
        <f t="shared" si="177"/>
        <v>5.0466047784629424</v>
      </c>
      <c r="P139" s="145">
        <f t="shared" si="182"/>
        <v>6</v>
      </c>
      <c r="Q139" s="113">
        <f>IF(O139&gt;0,VLOOKUP(P139,'$ alcantarillado'!$I$5:$L$22,4,FALSE),"0")</f>
        <v>0.14499999999999999</v>
      </c>
      <c r="R139" s="113">
        <f t="shared" si="178"/>
        <v>2.335011020205658E-2</v>
      </c>
      <c r="S139" s="146">
        <f t="shared" si="179"/>
        <v>0.71984670969645248</v>
      </c>
      <c r="T139" s="145">
        <f>+IF(S139&gt;$B$13,VLOOKUP(P139,'$ alcantarillado'!$I$6:$N$22,5),P139)</f>
        <v>6</v>
      </c>
      <c r="U139" s="113">
        <f>IF(O139&gt;0,VLOOKUP(T139,'$ alcantarillado'!$I$5:$L$22,4),"0")</f>
        <v>0.14499999999999999</v>
      </c>
      <c r="V139" s="113">
        <f t="shared" si="180"/>
        <v>2.335011020205658E-2</v>
      </c>
      <c r="W139" s="146">
        <f t="shared" si="273"/>
        <v>0.71984670969645248</v>
      </c>
      <c r="X139" s="146">
        <f t="shared" ref="X139:X142" si="334">IF(T139&gt;0,4*V139/(PI()*(U139)^2),"")</f>
        <v>1.4140444082369752</v>
      </c>
      <c r="Y139" s="113">
        <f>IF(T139&gt;0,(VLOOKUP($W139,Relaciones!$A$4:$D$108,2)),"")</f>
        <v>0.95099999999999996</v>
      </c>
      <c r="Z139" s="146">
        <f t="shared" ref="Z139:Z142" si="335">IF(T139&gt;0,Y139*X139,"")</f>
        <v>1.3447562322333633</v>
      </c>
      <c r="AA139" s="146">
        <f t="shared" ref="AA139:AA142" si="336">IF(T139&gt;0,250*U139*J139,"")</f>
        <v>0.60416666666666663</v>
      </c>
      <c r="AB139" s="147" t="str">
        <f t="shared" ref="AB139:AB142" si="337">IF(T139&gt;0,IF(W139&lt;=$B$13,"OK","No Cumple"),"")</f>
        <v>OK</v>
      </c>
      <c r="AC139" s="147" t="str">
        <f t="shared" ref="AC139:AC142" si="338">IF(T139&gt;0,IF(Z139&gt;=$B$12,"OK","No Cumple"),"")</f>
        <v>OK</v>
      </c>
      <c r="AD139" s="147" t="str">
        <f t="shared" ref="AD139:AD142" si="339">IF(T139&gt;0,IF(AA139&gt;$B$14,"OK","No Cumple"),"")</f>
        <v>OK</v>
      </c>
      <c r="AE139" s="148">
        <f t="shared" ref="AE139:AG142" si="340">+IF(AB139="OK",1,0)</f>
        <v>1</v>
      </c>
      <c r="AF139" s="148">
        <f t="shared" si="340"/>
        <v>1</v>
      </c>
      <c r="AG139" s="148">
        <f t="shared" si="340"/>
        <v>1</v>
      </c>
      <c r="AH139" s="148">
        <f t="shared" ref="AH139:AH142" si="341">SUM(AE139:AG139)</f>
        <v>3</v>
      </c>
      <c r="AI139" s="147">
        <f t="shared" ref="AI139:AI142" si="342">IF(AH139=3,2*$B$7+U139,0)</f>
        <v>0.64500000000000002</v>
      </c>
      <c r="AJ139" s="149">
        <f>IF(AI139&gt;0,I139*VLOOKUP(T139,'$ alcantarillado'!$I$6:$K$22,3),0)</f>
        <v>1792662.5</v>
      </c>
      <c r="AK139" s="149">
        <f t="shared" si="286"/>
        <v>4477831.8750000037</v>
      </c>
      <c r="AL139" s="149">
        <f t="shared" si="287"/>
        <v>2334746.4450000022</v>
      </c>
      <c r="AM139" s="149">
        <f t="shared" si="300"/>
        <v>8605240.8200000059</v>
      </c>
      <c r="AN139" s="164">
        <f>+AP103</f>
        <v>39564081.926333368</v>
      </c>
      <c r="AO139" s="150">
        <f t="shared" ref="AO139:AO142" si="343">IF((AM139)&gt;0,IF(AN139&gt;0,AM139+AN139,""),"")</f>
        <v>48169322.746333376</v>
      </c>
      <c r="AP139" s="218"/>
      <c r="AQ139" s="142"/>
      <c r="AR139" s="165"/>
    </row>
    <row r="140" spans="1:44" x14ac:dyDescent="0.25">
      <c r="A140" s="230"/>
      <c r="B140" s="230"/>
      <c r="C140" s="230"/>
      <c r="D140" s="230"/>
      <c r="E140" s="151">
        <v>3</v>
      </c>
      <c r="F140" s="142">
        <f>+H108</f>
        <v>45.765000000000001</v>
      </c>
      <c r="G140" s="151">
        <v>4</v>
      </c>
      <c r="H140" s="128">
        <f t="shared" ref="H140:I141" si="344">+H139</f>
        <v>44.64</v>
      </c>
      <c r="I140" s="142">
        <f t="shared" si="344"/>
        <v>75</v>
      </c>
      <c r="J140" s="143">
        <f t="shared" si="288"/>
        <v>1.4999999999999999E-2</v>
      </c>
      <c r="K140" s="142">
        <f t="shared" ref="K140:K141" si="345">+K139</f>
        <v>1460</v>
      </c>
      <c r="L140" s="128">
        <f t="shared" si="289"/>
        <v>16.808499999999999</v>
      </c>
      <c r="M140" s="144">
        <f t="shared" si="333"/>
        <v>1.6808499999999997E-2</v>
      </c>
      <c r="N140" s="144">
        <f t="shared" si="176"/>
        <v>0.13074122224264353</v>
      </c>
      <c r="O140" s="144">
        <f t="shared" si="177"/>
        <v>5.1472922142773045</v>
      </c>
      <c r="P140" s="145">
        <f t="shared" si="182"/>
        <v>6</v>
      </c>
      <c r="Q140" s="113">
        <f>IF(O140&gt;0,VLOOKUP(P140,'$ alcantarillado'!$I$5:$L$22,4,FALSE),"0")</f>
        <v>0.14499999999999999</v>
      </c>
      <c r="R140" s="113">
        <f t="shared" si="178"/>
        <v>2.2151859556329985E-2</v>
      </c>
      <c r="S140" s="146">
        <f t="shared" si="179"/>
        <v>0.7587850562729348</v>
      </c>
      <c r="T140" s="145">
        <f>+IF(S140&gt;$B$13,VLOOKUP(P140,'$ alcantarillado'!$I$6:$N$22,5),P140)</f>
        <v>6</v>
      </c>
      <c r="U140" s="113">
        <f>IF(O140&gt;0,VLOOKUP(T140,'$ alcantarillado'!$I$5:$L$22,4),"0")</f>
        <v>0.14499999999999999</v>
      </c>
      <c r="V140" s="113">
        <f t="shared" si="180"/>
        <v>2.2151859556329985E-2</v>
      </c>
      <c r="W140" s="146">
        <f t="shared" si="273"/>
        <v>0.7587850562729348</v>
      </c>
      <c r="X140" s="146">
        <f t="shared" si="334"/>
        <v>1.3414803127961406</v>
      </c>
      <c r="Y140" s="113">
        <f>IF(T140&gt;0,(VLOOKUP($W140,Relaciones!$A$4:$D$108,2)),"")</f>
        <v>0.96499999999999997</v>
      </c>
      <c r="Z140" s="146">
        <f t="shared" si="335"/>
        <v>1.2945285018482755</v>
      </c>
      <c r="AA140" s="146">
        <f t="shared" si="336"/>
        <v>0.54374999999999996</v>
      </c>
      <c r="AB140" s="147" t="str">
        <f t="shared" si="337"/>
        <v>OK</v>
      </c>
      <c r="AC140" s="147" t="str">
        <f t="shared" si="338"/>
        <v>OK</v>
      </c>
      <c r="AD140" s="147" t="str">
        <f t="shared" si="339"/>
        <v>OK</v>
      </c>
      <c r="AE140" s="148">
        <f t="shared" si="340"/>
        <v>1</v>
      </c>
      <c r="AF140" s="148">
        <f t="shared" si="340"/>
        <v>1</v>
      </c>
      <c r="AG140" s="148">
        <f t="shared" si="340"/>
        <v>1</v>
      </c>
      <c r="AH140" s="148">
        <f t="shared" si="341"/>
        <v>3</v>
      </c>
      <c r="AI140" s="147">
        <f t="shared" si="342"/>
        <v>0.64500000000000002</v>
      </c>
      <c r="AJ140" s="149">
        <f>IF(AI140&gt;0,I140*VLOOKUP(T140,'$ alcantarillado'!$I$6:$K$22,3),0)</f>
        <v>1792662.5</v>
      </c>
      <c r="AK140" s="149">
        <f t="shared" si="286"/>
        <v>4586675.6250000037</v>
      </c>
      <c r="AL140" s="149">
        <f t="shared" si="287"/>
        <v>2421994.0700000022</v>
      </c>
      <c r="AM140" s="149">
        <f t="shared" si="300"/>
        <v>8801332.1950000059</v>
      </c>
      <c r="AN140" s="164">
        <f>+AP108</f>
        <v>38572015.45600003</v>
      </c>
      <c r="AO140" s="150">
        <f t="shared" si="343"/>
        <v>47373347.651000038</v>
      </c>
      <c r="AP140" s="219"/>
      <c r="AQ140" s="142">
        <v>3</v>
      </c>
      <c r="AR140" s="165">
        <v>4</v>
      </c>
    </row>
    <row r="141" spans="1:44" x14ac:dyDescent="0.25">
      <c r="A141" s="230"/>
      <c r="B141" s="230"/>
      <c r="C141" s="230"/>
      <c r="D141" s="230"/>
      <c r="E141" s="151">
        <v>4</v>
      </c>
      <c r="F141" s="142">
        <f>+H113</f>
        <v>45.64</v>
      </c>
      <c r="G141" s="151">
        <v>4</v>
      </c>
      <c r="H141" s="128">
        <f t="shared" si="344"/>
        <v>44.64</v>
      </c>
      <c r="I141" s="142">
        <f t="shared" si="344"/>
        <v>75</v>
      </c>
      <c r="J141" s="143">
        <f>+(F141-H141)/I141</f>
        <v>1.3333333333333334E-2</v>
      </c>
      <c r="K141" s="142">
        <f t="shared" si="345"/>
        <v>1460</v>
      </c>
      <c r="L141" s="128">
        <f t="shared" si="289"/>
        <v>16.808499999999999</v>
      </c>
      <c r="M141" s="144">
        <f t="shared" si="333"/>
        <v>1.6808499999999997E-2</v>
      </c>
      <c r="N141" s="144">
        <f t="shared" si="176"/>
        <v>0.13366067149544208</v>
      </c>
      <c r="O141" s="144">
        <f t="shared" si="177"/>
        <v>5.2622311612378772</v>
      </c>
      <c r="P141" s="145">
        <f t="shared" si="182"/>
        <v>6</v>
      </c>
      <c r="Q141" s="113">
        <f>IF(O141&gt;0,VLOOKUP(P141,'$ alcantarillado'!$I$5:$L$22,4,FALSE),"0")</f>
        <v>0.14499999999999999</v>
      </c>
      <c r="R141" s="113">
        <f t="shared" si="178"/>
        <v>2.0884973477563944E-2</v>
      </c>
      <c r="S141" s="146">
        <f t="shared" si="179"/>
        <v>0.80481308813041241</v>
      </c>
      <c r="T141" s="145">
        <f>+IF(S141&gt;$B$13,VLOOKUP(P141,'$ alcantarillado'!$I$6:$N$22,5),P141)</f>
        <v>6</v>
      </c>
      <c r="U141" s="113">
        <f>IF(O141&gt;0,VLOOKUP(T141,'$ alcantarillado'!$I$5:$L$22,4),"0")</f>
        <v>0.14499999999999999</v>
      </c>
      <c r="V141" s="113">
        <f t="shared" si="180"/>
        <v>2.0884973477563944E-2</v>
      </c>
      <c r="W141" s="146">
        <f t="shared" si="273"/>
        <v>0.80481308813041241</v>
      </c>
      <c r="X141" s="146">
        <f t="shared" si="334"/>
        <v>1.2647597680085358</v>
      </c>
      <c r="Y141" s="113">
        <f>IF(T141&gt;0,(VLOOKUP($W141,Relaciones!$A$4:$D$108,2)),"")</f>
        <v>0.98399999999999999</v>
      </c>
      <c r="Z141" s="146">
        <f t="shared" si="335"/>
        <v>1.2445236117203993</v>
      </c>
      <c r="AA141" s="146">
        <f t="shared" si="336"/>
        <v>0.48333333333333334</v>
      </c>
      <c r="AB141" s="147" t="str">
        <f t="shared" si="337"/>
        <v>OK</v>
      </c>
      <c r="AC141" s="147" t="str">
        <f t="shared" si="338"/>
        <v>OK</v>
      </c>
      <c r="AD141" s="147" t="str">
        <f t="shared" si="339"/>
        <v>OK</v>
      </c>
      <c r="AE141" s="148">
        <f t="shared" si="340"/>
        <v>1</v>
      </c>
      <c r="AF141" s="148">
        <f t="shared" si="340"/>
        <v>1</v>
      </c>
      <c r="AG141" s="148">
        <f t="shared" si="340"/>
        <v>1</v>
      </c>
      <c r="AH141" s="148">
        <f t="shared" si="341"/>
        <v>3</v>
      </c>
      <c r="AI141" s="147">
        <f t="shared" si="342"/>
        <v>0.64500000000000002</v>
      </c>
      <c r="AJ141" s="149">
        <f>IF(AI141&gt;0,I141*VLOOKUP(T141,'$ alcantarillado'!$I$6:$K$22,3),0)</f>
        <v>1792662.5</v>
      </c>
      <c r="AK141" s="149">
        <f t="shared" si="286"/>
        <v>4695519.3750000037</v>
      </c>
      <c r="AL141" s="149">
        <f t="shared" si="287"/>
        <v>2509241.6950000022</v>
      </c>
      <c r="AM141" s="149">
        <f t="shared" si="300"/>
        <v>8997423.5700000059</v>
      </c>
      <c r="AN141" s="164">
        <f>+AP113</f>
        <v>38630065.45600003</v>
      </c>
      <c r="AO141" s="150">
        <f t="shared" si="343"/>
        <v>47627489.026000038</v>
      </c>
      <c r="AP141" s="219"/>
      <c r="AQ141" s="142"/>
      <c r="AR141" s="165"/>
    </row>
    <row r="142" spans="1:44" ht="15.75" thickBot="1" x14ac:dyDescent="0.3">
      <c r="A142" s="230"/>
      <c r="B142" s="230"/>
      <c r="C142" s="230"/>
      <c r="D142" s="230"/>
      <c r="E142" s="152">
        <v>5</v>
      </c>
      <c r="F142" s="153">
        <f>+H118</f>
        <v>45.515000000000001</v>
      </c>
      <c r="G142" s="152">
        <v>4</v>
      </c>
      <c r="H142" s="153">
        <f>+H141</f>
        <v>44.64</v>
      </c>
      <c r="I142" s="154">
        <f>+I141</f>
        <v>75</v>
      </c>
      <c r="J142" s="155">
        <f t="shared" si="288"/>
        <v>1.1666666666666667E-2</v>
      </c>
      <c r="K142" s="154">
        <f>+K141</f>
        <v>1460</v>
      </c>
      <c r="L142" s="153">
        <f t="shared" si="289"/>
        <v>16.808499999999999</v>
      </c>
      <c r="M142" s="156">
        <f t="shared" si="333"/>
        <v>1.6808499999999997E-2</v>
      </c>
      <c r="N142" s="156">
        <f t="shared" si="176"/>
        <v>0.13704939689167578</v>
      </c>
      <c r="O142" s="156">
        <f t="shared" si="177"/>
        <v>5.3956455469163691</v>
      </c>
      <c r="P142" s="157">
        <f t="shared" si="182"/>
        <v>6</v>
      </c>
      <c r="Q142" s="113">
        <f>IF(O142&gt;0,VLOOKUP(P142,'$ alcantarillado'!$I$5:$L$22,4,FALSE),"0")</f>
        <v>0.14499999999999999</v>
      </c>
      <c r="R142" s="160">
        <f t="shared" si="178"/>
        <v>1.9536103821226249E-2</v>
      </c>
      <c r="S142" s="146">
        <f t="shared" si="179"/>
        <v>0.8603813817644298</v>
      </c>
      <c r="T142" s="145">
        <f>+IF(S142&gt;$B$13,VLOOKUP(P142,'$ alcantarillado'!$I$6:$N$22,5),P142)</f>
        <v>8</v>
      </c>
      <c r="U142" s="113">
        <f>IF(O142&gt;0,VLOOKUP(T142,'$ alcantarillado'!$I$5:$L$22,4),"0")</f>
        <v>0.182</v>
      </c>
      <c r="V142" s="113">
        <f t="shared" si="180"/>
        <v>3.5813517912563465E-2</v>
      </c>
      <c r="W142" s="146">
        <f t="shared" si="273"/>
        <v>0.46933395487806956</v>
      </c>
      <c r="X142" s="146">
        <f t="shared" si="334"/>
        <v>1.3766207958687628</v>
      </c>
      <c r="Y142" s="113">
        <f>IF(T142&gt;0,(VLOOKUP($W142,Relaciones!$A$4:$D$108,2)),"")</f>
        <v>0.83</v>
      </c>
      <c r="Z142" s="146">
        <f t="shared" si="335"/>
        <v>1.1425952605710732</v>
      </c>
      <c r="AA142" s="146">
        <f t="shared" si="336"/>
        <v>0.53083333333333338</v>
      </c>
      <c r="AB142" s="147" t="str">
        <f t="shared" si="337"/>
        <v>OK</v>
      </c>
      <c r="AC142" s="147" t="str">
        <f t="shared" si="338"/>
        <v>OK</v>
      </c>
      <c r="AD142" s="147" t="str">
        <f t="shared" si="339"/>
        <v>OK</v>
      </c>
      <c r="AE142" s="148">
        <f t="shared" si="340"/>
        <v>1</v>
      </c>
      <c r="AF142" s="148">
        <f t="shared" si="340"/>
        <v>1</v>
      </c>
      <c r="AG142" s="148">
        <f t="shared" si="340"/>
        <v>1</v>
      </c>
      <c r="AH142" s="148">
        <f t="shared" si="341"/>
        <v>3</v>
      </c>
      <c r="AI142" s="147">
        <f t="shared" si="342"/>
        <v>0.68199999999999994</v>
      </c>
      <c r="AJ142" s="158">
        <f>IF(AI142&gt;0,I142*VLOOKUP(T142,'$ alcantarillado'!$I$6:$K$22,3),0)</f>
        <v>2488675</v>
      </c>
      <c r="AK142" s="149">
        <f t="shared" si="286"/>
        <v>5131061.1000000024</v>
      </c>
      <c r="AL142" s="149">
        <f t="shared" si="287"/>
        <v>2622314.6170000019</v>
      </c>
      <c r="AM142" s="158">
        <f t="shared" si="300"/>
        <v>10242050.717000004</v>
      </c>
      <c r="AN142" s="167">
        <f>+AP118</f>
        <v>38688115.45600003</v>
      </c>
      <c r="AO142" s="159">
        <f t="shared" si="343"/>
        <v>48930166.173000038</v>
      </c>
      <c r="AP142" s="220"/>
      <c r="AQ142" s="154"/>
      <c r="AR142" s="166"/>
    </row>
    <row r="143" spans="1:44" x14ac:dyDescent="0.25">
      <c r="A143" s="230"/>
      <c r="B143" s="230"/>
      <c r="C143" s="230"/>
      <c r="D143" s="230"/>
      <c r="E143" s="127">
        <v>1</v>
      </c>
      <c r="F143" s="129">
        <f>+H98</f>
        <v>46.015000000000001</v>
      </c>
      <c r="G143" s="127">
        <v>5</v>
      </c>
      <c r="H143" s="132">
        <f>+H133-2*$B$15</f>
        <v>44.515000000000001</v>
      </c>
      <c r="I143" s="129">
        <f>+I138</f>
        <v>75</v>
      </c>
      <c r="J143" s="130">
        <f>+(F143-H143)/I143</f>
        <v>0.02</v>
      </c>
      <c r="K143" s="129">
        <f>+K138</f>
        <v>1460</v>
      </c>
      <c r="L143" s="132">
        <f>IF(K143&lt;38,K143^0.3686*0.7401,IF(K143&lt;235,K143^0.4193*0.6215,IF(K143&lt;932,K143*0.0092+4.2493,K143*0.0069+6.7345)))</f>
        <v>16.808499999999999</v>
      </c>
      <c r="M143" s="133">
        <f>+L143/1000</f>
        <v>1.6808499999999997E-2</v>
      </c>
      <c r="N143" s="133">
        <f t="shared" si="176"/>
        <v>0.12387581578857372</v>
      </c>
      <c r="O143" s="133">
        <f t="shared" si="177"/>
        <v>4.8770006215973911</v>
      </c>
      <c r="P143" s="134">
        <f t="shared" si="182"/>
        <v>6</v>
      </c>
      <c r="Q143" s="135">
        <f>IF(O143&gt;0,VLOOKUP(P143,'$ alcantarillado'!$I$5:$L$22,4,FALSE),"0")</f>
        <v>0.14499999999999999</v>
      </c>
      <c r="R143" s="135">
        <f t="shared" si="178"/>
        <v>2.55787641557958E-2</v>
      </c>
      <c r="S143" s="136">
        <f t="shared" si="179"/>
        <v>0.65712713474436646</v>
      </c>
      <c r="T143" s="134">
        <f>+IF(S143&gt;$B$13,VLOOKUP(P143,'$ alcantarillado'!$I$6:$N$22,5),P143)</f>
        <v>6</v>
      </c>
      <c r="U143" s="135">
        <f>IF(O143&gt;0,VLOOKUP(T143,'$ alcantarillado'!$I$5:$L$22,4),"0")</f>
        <v>0.14499999999999999</v>
      </c>
      <c r="V143" s="135">
        <f t="shared" si="180"/>
        <v>2.55787641557958E-2</v>
      </c>
      <c r="W143" s="136">
        <f t="shared" si="273"/>
        <v>0.65712713474436646</v>
      </c>
      <c r="X143" s="136">
        <f>IF(T143&gt;0,4*V143/(PI()*(U143)^2),"")</f>
        <v>1.5490080394108703</v>
      </c>
      <c r="Y143" s="135">
        <f>IF(T143&gt;0,(VLOOKUP($W143,Relaciones!$A$4:$D$108,2)),"")</f>
        <v>0.92200000000000004</v>
      </c>
      <c r="Z143" s="136">
        <f>IF(T143&gt;0,Y143*X143,"")</f>
        <v>1.4281854123368225</v>
      </c>
      <c r="AA143" s="136">
        <f>IF(T143&gt;0,250*U143*J143,"")</f>
        <v>0.72499999999999998</v>
      </c>
      <c r="AB143" s="137" t="str">
        <f>IF(T143&gt;0,IF(W143&lt;=$B$13,"OK","No Cumple"),"")</f>
        <v>OK</v>
      </c>
      <c r="AC143" s="137" t="str">
        <f>IF(T143&gt;0,IF(Z143&gt;=$B$12,"OK","No Cumple"),"")</f>
        <v>OK</v>
      </c>
      <c r="AD143" s="137" t="str">
        <f>IF(T143&gt;0,IF(AA143&gt;$B$14,"OK","No Cumple"),"")</f>
        <v>OK</v>
      </c>
      <c r="AE143" s="138">
        <f>+IF(AB143="OK",1,0)</f>
        <v>1</v>
      </c>
      <c r="AF143" s="138">
        <f>+IF(AC143="OK",1,0)</f>
        <v>1</v>
      </c>
      <c r="AG143" s="138">
        <f>+IF(AD143="OK",1,0)</f>
        <v>1</v>
      </c>
      <c r="AH143" s="138">
        <f>SUM(AE143:AG143)</f>
        <v>3</v>
      </c>
      <c r="AI143" s="137">
        <f>IF(AH143=3,2*$B$7+U143,0)</f>
        <v>0.64500000000000002</v>
      </c>
      <c r="AJ143" s="139">
        <f>IF(AI143&gt;0,I143*VLOOKUP(T143,'$ alcantarillado'!$I$6:$K$22,3),0)</f>
        <v>1792662.5</v>
      </c>
      <c r="AK143" s="139">
        <f t="shared" si="286"/>
        <v>4423410.0000000037</v>
      </c>
      <c r="AL143" s="139">
        <f t="shared" si="287"/>
        <v>2247498.8200000022</v>
      </c>
      <c r="AM143" s="139">
        <f>IF(AJ143&gt;0,AJ143+AK143+AL143,0)</f>
        <v>8463571.3200000059</v>
      </c>
      <c r="AN143" s="162">
        <f>IF(AP98&gt;0,+AP98,0)</f>
        <v>39502701.926333368</v>
      </c>
      <c r="AO143" s="207">
        <f>IF((AM143)&gt;0,IF(AN143&gt;0,AM143+AN143,""),"")</f>
        <v>47966273.246333376</v>
      </c>
      <c r="AP143" s="249">
        <f t="shared" ref="AP143" si="346">+MIN(AO143:AO147)</f>
        <v>47427769.526000038</v>
      </c>
      <c r="AQ143" s="142"/>
      <c r="AR143" s="165"/>
    </row>
    <row r="144" spans="1:44" x14ac:dyDescent="0.25">
      <c r="A144" s="230"/>
      <c r="B144" s="230"/>
      <c r="C144" s="230"/>
      <c r="D144" s="230"/>
      <c r="E144" s="141">
        <v>2</v>
      </c>
      <c r="F144" s="142">
        <f>+H103</f>
        <v>45.89</v>
      </c>
      <c r="G144" s="141">
        <v>5</v>
      </c>
      <c r="H144" s="128">
        <f>+H143</f>
        <v>44.515000000000001</v>
      </c>
      <c r="I144" s="142">
        <f>+I143</f>
        <v>75</v>
      </c>
      <c r="J144" s="143">
        <f t="shared" si="288"/>
        <v>1.8333333333333333E-2</v>
      </c>
      <c r="K144" s="142">
        <f>+K143</f>
        <v>1460</v>
      </c>
      <c r="L144" s="128">
        <f t="shared" si="289"/>
        <v>16.808499999999999</v>
      </c>
      <c r="M144" s="144">
        <f t="shared" ref="M144:M147" si="347">+L144/1000</f>
        <v>1.6808499999999997E-2</v>
      </c>
      <c r="N144" s="144">
        <f t="shared" si="176"/>
        <v>0.1259133801470671</v>
      </c>
      <c r="O144" s="144">
        <f t="shared" si="177"/>
        <v>4.9572196908294135</v>
      </c>
      <c r="P144" s="145">
        <f t="shared" si="182"/>
        <v>6</v>
      </c>
      <c r="Q144" s="113">
        <f>IF(O144&gt;0,VLOOKUP(P144,'$ alcantarillado'!$I$5:$L$22,4,FALSE),"0")</f>
        <v>0.14499999999999999</v>
      </c>
      <c r="R144" s="113">
        <f t="shared" si="178"/>
        <v>2.4489802185665068E-2</v>
      </c>
      <c r="S144" s="146">
        <f t="shared" si="179"/>
        <v>0.68634690768709983</v>
      </c>
      <c r="T144" s="145">
        <f>+IF(S144&gt;$B$13,VLOOKUP(P144,'$ alcantarillado'!$I$6:$N$22,5),P144)</f>
        <v>6</v>
      </c>
      <c r="U144" s="113">
        <f>IF(O144&gt;0,VLOOKUP(T144,'$ alcantarillado'!$I$5:$L$22,4),"0")</f>
        <v>0.14499999999999999</v>
      </c>
      <c r="V144" s="113">
        <f t="shared" si="180"/>
        <v>2.4489802185665068E-2</v>
      </c>
      <c r="W144" s="146">
        <f t="shared" si="273"/>
        <v>0.68634690768709983</v>
      </c>
      <c r="X144" s="146">
        <f t="shared" ref="X144:X147" si="348">IF(T144&gt;0,4*V144/(PI()*(U144)^2),"")</f>
        <v>1.4830622870644654</v>
      </c>
      <c r="Y144" s="113">
        <f>IF(T144&gt;0,(VLOOKUP($W144,Relaciones!$A$4:$D$108,2)),"")</f>
        <v>0.93600000000000005</v>
      </c>
      <c r="Z144" s="146">
        <f t="shared" ref="Z144:Z147" si="349">IF(T144&gt;0,Y144*X144,"")</f>
        <v>1.3881463006923398</v>
      </c>
      <c r="AA144" s="146">
        <f t="shared" ref="AA144:AA147" si="350">IF(T144&gt;0,250*U144*J144,"")</f>
        <v>0.6645833333333333</v>
      </c>
      <c r="AB144" s="147" t="str">
        <f t="shared" ref="AB144:AB147" si="351">IF(T144&gt;0,IF(W144&lt;=$B$13,"OK","No Cumple"),"")</f>
        <v>OK</v>
      </c>
      <c r="AC144" s="147" t="str">
        <f t="shared" ref="AC144:AC147" si="352">IF(T144&gt;0,IF(Z144&gt;=$B$12,"OK","No Cumple"),"")</f>
        <v>OK</v>
      </c>
      <c r="AD144" s="147" t="str">
        <f t="shared" ref="AD144:AD147" si="353">IF(T144&gt;0,IF(AA144&gt;$B$14,"OK","No Cumple"),"")</f>
        <v>OK</v>
      </c>
      <c r="AE144" s="148">
        <f t="shared" ref="AE144:AG147" si="354">+IF(AB144="OK",1,0)</f>
        <v>1</v>
      </c>
      <c r="AF144" s="148">
        <f t="shared" si="354"/>
        <v>1</v>
      </c>
      <c r="AG144" s="148">
        <f t="shared" si="354"/>
        <v>1</v>
      </c>
      <c r="AH144" s="148">
        <f t="shared" ref="AH144:AH147" si="355">SUM(AE144:AG144)</f>
        <v>3</v>
      </c>
      <c r="AI144" s="147">
        <f t="shared" ref="AI144:AI147" si="356">IF(AH144=3,2*$B$7+U144,0)</f>
        <v>0.64500000000000002</v>
      </c>
      <c r="AJ144" s="149">
        <f>IF(AI144&gt;0,I144*VLOOKUP(T144,'$ alcantarillado'!$I$6:$K$22,3),0)</f>
        <v>1792662.5</v>
      </c>
      <c r="AK144" s="149">
        <f t="shared" si="286"/>
        <v>4532253.7500000037</v>
      </c>
      <c r="AL144" s="149">
        <f t="shared" si="287"/>
        <v>2334746.4450000022</v>
      </c>
      <c r="AM144" s="149">
        <f t="shared" si="300"/>
        <v>8659662.6950000059</v>
      </c>
      <c r="AN144" s="164">
        <f>+AP103</f>
        <v>39564081.926333368</v>
      </c>
      <c r="AO144" s="208">
        <f t="shared" ref="AO144:AO146" si="357">IF((AM144)&gt;0,IF(AN144&gt;0,AM144+AN144,""),"")</f>
        <v>48223744.621333376</v>
      </c>
      <c r="AP144" s="250"/>
      <c r="AQ144" s="142"/>
      <c r="AR144" s="165"/>
    </row>
    <row r="145" spans="1:44" x14ac:dyDescent="0.25">
      <c r="A145" s="230"/>
      <c r="B145" s="230"/>
      <c r="C145" s="230"/>
      <c r="D145" s="230"/>
      <c r="E145" s="151">
        <v>3</v>
      </c>
      <c r="F145" s="142">
        <f>+H108</f>
        <v>45.765000000000001</v>
      </c>
      <c r="G145" s="151">
        <v>5</v>
      </c>
      <c r="H145" s="128">
        <f t="shared" ref="H145:I146" si="358">+H144</f>
        <v>44.515000000000001</v>
      </c>
      <c r="I145" s="142">
        <f t="shared" si="358"/>
        <v>75</v>
      </c>
      <c r="J145" s="143">
        <f t="shared" si="288"/>
        <v>1.6666666666666666E-2</v>
      </c>
      <c r="K145" s="142">
        <f t="shared" ref="K145:K146" si="359">+K144</f>
        <v>1460</v>
      </c>
      <c r="L145" s="128">
        <f t="shared" si="289"/>
        <v>16.808499999999999</v>
      </c>
      <c r="M145" s="144">
        <f t="shared" si="347"/>
        <v>1.6808499999999997E-2</v>
      </c>
      <c r="N145" s="144">
        <f t="shared" si="176"/>
        <v>0.12818376137295873</v>
      </c>
      <c r="O145" s="144">
        <f t="shared" si="177"/>
        <v>5.0466047784629424</v>
      </c>
      <c r="P145" s="145">
        <f t="shared" si="182"/>
        <v>6</v>
      </c>
      <c r="Q145" s="113">
        <f>IF(O145&gt;0,VLOOKUP(P145,'$ alcantarillado'!$I$5:$L$22,4,FALSE),"0")</f>
        <v>0.14499999999999999</v>
      </c>
      <c r="R145" s="113">
        <f t="shared" si="178"/>
        <v>2.335011020205658E-2</v>
      </c>
      <c r="S145" s="146">
        <f t="shared" si="179"/>
        <v>0.71984670969645248</v>
      </c>
      <c r="T145" s="145">
        <f>+IF(S145&gt;$B$13,VLOOKUP(P145,'$ alcantarillado'!$I$6:$N$22,5),P145)</f>
        <v>6</v>
      </c>
      <c r="U145" s="113">
        <f>IF(O145&gt;0,VLOOKUP(T145,'$ alcantarillado'!$I$5:$L$22,4),"0")</f>
        <v>0.14499999999999999</v>
      </c>
      <c r="V145" s="113">
        <f t="shared" si="180"/>
        <v>2.335011020205658E-2</v>
      </c>
      <c r="W145" s="146">
        <f t="shared" si="273"/>
        <v>0.71984670969645248</v>
      </c>
      <c r="X145" s="146">
        <f t="shared" si="348"/>
        <v>1.4140444082369752</v>
      </c>
      <c r="Y145" s="113">
        <f>IF(T145&gt;0,(VLOOKUP($W145,Relaciones!$A$4:$D$108,2)),"")</f>
        <v>0.95099999999999996</v>
      </c>
      <c r="Z145" s="146">
        <f t="shared" si="349"/>
        <v>1.3447562322333633</v>
      </c>
      <c r="AA145" s="146">
        <f t="shared" si="350"/>
        <v>0.60416666666666663</v>
      </c>
      <c r="AB145" s="147" t="str">
        <f t="shared" si="351"/>
        <v>OK</v>
      </c>
      <c r="AC145" s="147" t="str">
        <f t="shared" si="352"/>
        <v>OK</v>
      </c>
      <c r="AD145" s="147" t="str">
        <f t="shared" si="353"/>
        <v>OK</v>
      </c>
      <c r="AE145" s="148">
        <f t="shared" si="354"/>
        <v>1</v>
      </c>
      <c r="AF145" s="148">
        <f t="shared" si="354"/>
        <v>1</v>
      </c>
      <c r="AG145" s="148">
        <f t="shared" si="354"/>
        <v>1</v>
      </c>
      <c r="AH145" s="148">
        <f t="shared" si="355"/>
        <v>3</v>
      </c>
      <c r="AI145" s="147">
        <f t="shared" si="356"/>
        <v>0.64500000000000002</v>
      </c>
      <c r="AJ145" s="149">
        <f>IF(AI145&gt;0,I145*VLOOKUP(T145,'$ alcantarillado'!$I$6:$K$22,3),0)</f>
        <v>1792662.5</v>
      </c>
      <c r="AK145" s="149">
        <f t="shared" si="286"/>
        <v>4641097.5000000037</v>
      </c>
      <c r="AL145" s="149">
        <f t="shared" si="287"/>
        <v>2421994.0700000022</v>
      </c>
      <c r="AM145" s="149">
        <f t="shared" si="300"/>
        <v>8855754.0700000059</v>
      </c>
      <c r="AN145" s="164">
        <f>+AP108</f>
        <v>38572015.45600003</v>
      </c>
      <c r="AO145" s="208">
        <f t="shared" si="357"/>
        <v>47427769.526000038</v>
      </c>
      <c r="AP145" s="251"/>
      <c r="AQ145" s="142">
        <v>3</v>
      </c>
      <c r="AR145" s="165">
        <v>5</v>
      </c>
    </row>
    <row r="146" spans="1:44" x14ac:dyDescent="0.25">
      <c r="A146" s="230"/>
      <c r="B146" s="230"/>
      <c r="C146" s="230"/>
      <c r="D146" s="230"/>
      <c r="E146" s="151">
        <v>4</v>
      </c>
      <c r="F146" s="142">
        <f>+H113</f>
        <v>45.64</v>
      </c>
      <c r="G146" s="151">
        <v>5</v>
      </c>
      <c r="H146" s="128">
        <f t="shared" si="358"/>
        <v>44.515000000000001</v>
      </c>
      <c r="I146" s="142">
        <f t="shared" si="358"/>
        <v>75</v>
      </c>
      <c r="J146" s="143">
        <f>+(F146-H146)/I146</f>
        <v>1.4999999999999999E-2</v>
      </c>
      <c r="K146" s="142">
        <f t="shared" si="359"/>
        <v>1460</v>
      </c>
      <c r="L146" s="128">
        <f t="shared" si="289"/>
        <v>16.808499999999999</v>
      </c>
      <c r="M146" s="144">
        <f t="shared" si="347"/>
        <v>1.6808499999999997E-2</v>
      </c>
      <c r="N146" s="144">
        <f t="shared" si="176"/>
        <v>0.13074122224264353</v>
      </c>
      <c r="O146" s="144">
        <f t="shared" si="177"/>
        <v>5.1472922142773045</v>
      </c>
      <c r="P146" s="145">
        <f t="shared" si="182"/>
        <v>6</v>
      </c>
      <c r="Q146" s="113">
        <f>IF(O146&gt;0,VLOOKUP(P146,'$ alcantarillado'!$I$5:$L$22,4,FALSE),"0")</f>
        <v>0.14499999999999999</v>
      </c>
      <c r="R146" s="113">
        <f t="shared" si="178"/>
        <v>2.2151859556329985E-2</v>
      </c>
      <c r="S146" s="146">
        <f t="shared" si="179"/>
        <v>0.7587850562729348</v>
      </c>
      <c r="T146" s="145">
        <f>+IF(S146&gt;$B$13,VLOOKUP(P146,'$ alcantarillado'!$I$6:$N$22,5),P146)</f>
        <v>6</v>
      </c>
      <c r="U146" s="113">
        <f>IF(O146&gt;0,VLOOKUP(T146,'$ alcantarillado'!$I$5:$L$22,4),"0")</f>
        <v>0.14499999999999999</v>
      </c>
      <c r="V146" s="113">
        <f t="shared" si="180"/>
        <v>2.2151859556329985E-2</v>
      </c>
      <c r="W146" s="146">
        <f t="shared" si="273"/>
        <v>0.7587850562729348</v>
      </c>
      <c r="X146" s="146">
        <f t="shared" si="348"/>
        <v>1.3414803127961406</v>
      </c>
      <c r="Y146" s="113">
        <f>IF(T146&gt;0,(VLOOKUP($W146,Relaciones!$A$4:$D$108,2)),"")</f>
        <v>0.96499999999999997</v>
      </c>
      <c r="Z146" s="146">
        <f t="shared" si="349"/>
        <v>1.2945285018482755</v>
      </c>
      <c r="AA146" s="146">
        <f t="shared" si="350"/>
        <v>0.54374999999999996</v>
      </c>
      <c r="AB146" s="147" t="str">
        <f t="shared" si="351"/>
        <v>OK</v>
      </c>
      <c r="AC146" s="147" t="str">
        <f t="shared" si="352"/>
        <v>OK</v>
      </c>
      <c r="AD146" s="147" t="str">
        <f t="shared" si="353"/>
        <v>OK</v>
      </c>
      <c r="AE146" s="148">
        <f t="shared" si="354"/>
        <v>1</v>
      </c>
      <c r="AF146" s="148">
        <f t="shared" si="354"/>
        <v>1</v>
      </c>
      <c r="AG146" s="148">
        <f t="shared" si="354"/>
        <v>1</v>
      </c>
      <c r="AH146" s="148">
        <f t="shared" si="355"/>
        <v>3</v>
      </c>
      <c r="AI146" s="147">
        <f t="shared" si="356"/>
        <v>0.64500000000000002</v>
      </c>
      <c r="AJ146" s="149">
        <f>IF(AI146&gt;0,I146*VLOOKUP(T146,'$ alcantarillado'!$I$6:$K$22,3),0)</f>
        <v>1792662.5</v>
      </c>
      <c r="AK146" s="149">
        <f t="shared" si="286"/>
        <v>4749941.2500000037</v>
      </c>
      <c r="AL146" s="149">
        <f t="shared" si="287"/>
        <v>2509241.6950000022</v>
      </c>
      <c r="AM146" s="149">
        <f t="shared" si="300"/>
        <v>9051845.4450000059</v>
      </c>
      <c r="AN146" s="164">
        <f>+AP113</f>
        <v>38630065.45600003</v>
      </c>
      <c r="AO146" s="208">
        <f t="shared" si="357"/>
        <v>47681910.901000038</v>
      </c>
      <c r="AP146" s="251"/>
      <c r="AQ146" s="142"/>
      <c r="AR146" s="165"/>
    </row>
    <row r="147" spans="1:44" ht="15.75" thickBot="1" x14ac:dyDescent="0.3">
      <c r="A147" s="231"/>
      <c r="B147" s="231"/>
      <c r="C147" s="231"/>
      <c r="D147" s="231"/>
      <c r="E147" s="152">
        <v>5</v>
      </c>
      <c r="F147" s="153">
        <f>+H118</f>
        <v>45.515000000000001</v>
      </c>
      <c r="G147" s="152">
        <v>5</v>
      </c>
      <c r="H147" s="153">
        <f>+H146</f>
        <v>44.515000000000001</v>
      </c>
      <c r="I147" s="154">
        <f>+I146</f>
        <v>75</v>
      </c>
      <c r="J147" s="155">
        <f t="shared" si="288"/>
        <v>1.3333333333333334E-2</v>
      </c>
      <c r="K147" s="154">
        <f>+K146</f>
        <v>1460</v>
      </c>
      <c r="L147" s="153">
        <f t="shared" si="289"/>
        <v>16.808499999999999</v>
      </c>
      <c r="M147" s="156">
        <f t="shared" si="347"/>
        <v>1.6808499999999997E-2</v>
      </c>
      <c r="N147" s="156">
        <f t="shared" si="176"/>
        <v>0.13366067149544208</v>
      </c>
      <c r="O147" s="156">
        <f t="shared" si="177"/>
        <v>5.2622311612378772</v>
      </c>
      <c r="P147" s="157">
        <f t="shared" si="182"/>
        <v>6</v>
      </c>
      <c r="Q147" s="160">
        <f>IF(O147&gt;0,VLOOKUP(P147,'$ alcantarillado'!$I$5:$L$22,4,FALSE),"0")</f>
        <v>0.14499999999999999</v>
      </c>
      <c r="R147" s="160">
        <f t="shared" si="178"/>
        <v>2.0884973477563944E-2</v>
      </c>
      <c r="S147" s="168">
        <f t="shared" si="179"/>
        <v>0.80481308813041241</v>
      </c>
      <c r="T147" s="157">
        <f>+IF(S147&gt;$B$13,VLOOKUP(P147,'$ alcantarillado'!$I$6:$N$22,5),P147)</f>
        <v>6</v>
      </c>
      <c r="U147" s="160">
        <f>IF(O147&gt;0,VLOOKUP(T147,'$ alcantarillado'!$I$5:$L$22,4),"0")</f>
        <v>0.14499999999999999</v>
      </c>
      <c r="V147" s="160">
        <f t="shared" si="180"/>
        <v>2.0884973477563944E-2</v>
      </c>
      <c r="W147" s="169">
        <f t="shared" si="273"/>
        <v>0.80481308813041241</v>
      </c>
      <c r="X147" s="169">
        <f t="shared" si="348"/>
        <v>1.2647597680085358</v>
      </c>
      <c r="Y147" s="160">
        <f>IF(T147&gt;0,(VLOOKUP($W147,Relaciones!$A$4:$D$108,2)),"")</f>
        <v>0.98399999999999999</v>
      </c>
      <c r="Z147" s="169">
        <f t="shared" si="349"/>
        <v>1.2445236117203993</v>
      </c>
      <c r="AA147" s="169">
        <f t="shared" si="350"/>
        <v>0.48333333333333334</v>
      </c>
      <c r="AB147" s="170" t="str">
        <f t="shared" si="351"/>
        <v>OK</v>
      </c>
      <c r="AC147" s="170" t="str">
        <f t="shared" si="352"/>
        <v>OK</v>
      </c>
      <c r="AD147" s="170" t="str">
        <f t="shared" si="353"/>
        <v>OK</v>
      </c>
      <c r="AE147" s="171">
        <f t="shared" si="354"/>
        <v>1</v>
      </c>
      <c r="AF147" s="171">
        <f t="shared" si="354"/>
        <v>1</v>
      </c>
      <c r="AG147" s="171">
        <f t="shared" si="354"/>
        <v>1</v>
      </c>
      <c r="AH147" s="171">
        <f t="shared" si="355"/>
        <v>3</v>
      </c>
      <c r="AI147" s="170">
        <f t="shared" si="356"/>
        <v>0.64500000000000002</v>
      </c>
      <c r="AJ147" s="158">
        <f>IF(AI147&gt;0,I147*VLOOKUP(T147,'$ alcantarillado'!$I$6:$K$22,3),0)</f>
        <v>1792662.5</v>
      </c>
      <c r="AK147" s="158">
        <f t="shared" si="286"/>
        <v>4858785.0000000037</v>
      </c>
      <c r="AL147" s="158">
        <f t="shared" si="287"/>
        <v>2596489.3200000022</v>
      </c>
      <c r="AM147" s="158">
        <f t="shared" si="300"/>
        <v>9247936.8200000059</v>
      </c>
      <c r="AN147" s="167">
        <f>+AP118</f>
        <v>38688115.45600003</v>
      </c>
      <c r="AO147" s="209">
        <f>IF((AM147)&gt;0,IF(AN147&gt;0,AM147+AN147,""),"")</f>
        <v>47936052.276000038</v>
      </c>
      <c r="AP147" s="252"/>
      <c r="AQ147" s="172"/>
      <c r="AR147" s="166"/>
    </row>
    <row r="148" spans="1:44" x14ac:dyDescent="0.25">
      <c r="A148" s="52"/>
      <c r="B148" s="52"/>
      <c r="C148" s="52"/>
      <c r="D148" s="53">
        <v>48.09</v>
      </c>
    </row>
    <row r="149" spans="1:44" x14ac:dyDescent="0.25">
      <c r="A149" s="52"/>
      <c r="B149" s="52"/>
      <c r="C149" s="52"/>
      <c r="AP149" s="83"/>
    </row>
    <row r="150" spans="1:44" ht="15.75" thickBot="1" x14ac:dyDescent="0.3"/>
    <row r="151" spans="1:44" x14ac:dyDescent="0.25">
      <c r="A151" s="229">
        <v>6</v>
      </c>
      <c r="B151" s="229">
        <v>3</v>
      </c>
      <c r="C151" s="229">
        <v>4</v>
      </c>
      <c r="D151" s="229">
        <v>48.83</v>
      </c>
      <c r="E151" s="127">
        <v>1</v>
      </c>
      <c r="F151" s="132">
        <f>+'LOGIKA AN-1'!F151</f>
        <v>47.629999999999995</v>
      </c>
      <c r="G151" s="127">
        <v>1</v>
      </c>
      <c r="H151" s="136">
        <f>+H161+2*$B$15</f>
        <v>47.57</v>
      </c>
      <c r="I151" s="129">
        <v>80</v>
      </c>
      <c r="J151" s="130">
        <f>+(F151-H151)/I151</f>
        <v>7.4999999999993963E-4</v>
      </c>
      <c r="K151" s="138">
        <f>6*H4</f>
        <v>948</v>
      </c>
      <c r="L151" s="132">
        <f>IF(K151&lt;38,K151^0.3686*0.7401,IF(K151&lt;235,K151^0.4193*0.6215,IF(K151&lt;932,K151*0.0092+4.2493,K151*0.0069+6.7345)))</f>
        <v>13.275700000000001</v>
      </c>
      <c r="M151" s="133">
        <f>+L151/1000</f>
        <v>1.32757E-2</v>
      </c>
      <c r="N151" s="133">
        <f t="shared" ref="N151:N200" si="360">+IF(J151&gt;0,((M151*$B$2*(4^(5/3))/((J151^0.5)*PI()*$B$6))^(3/8)),0)</f>
        <v>0.20985960041682264</v>
      </c>
      <c r="O151" s="133">
        <f t="shared" ref="O151:O200" si="361">+N151*(100/2.54)</f>
        <v>8.2621889927882926</v>
      </c>
      <c r="P151" s="134">
        <f t="shared" ref="P151:P200" si="362">IF(O151&lt;0.1,0,IF(O151&lt;4,6,EVEN(O151)))</f>
        <v>10</v>
      </c>
      <c r="Q151" s="135">
        <f>IF(O151&gt;0,VLOOKUP(P151,'$ alcantarillado'!$I$5:$L$22,4,FALSE),"0")</f>
        <v>0.22700000000000001</v>
      </c>
      <c r="R151" s="135">
        <f t="shared" ref="R151:R200" si="363">IF(P151&gt;0,PI()*((Q151)^(8/3))*((J151)^0.5)/($B$2*4^(5/3)),"")</f>
        <v>1.636751715152987E-2</v>
      </c>
      <c r="S151" s="136">
        <f t="shared" ref="S151:S200" si="364">IF(P151&gt;0,+M151/R151,0)</f>
        <v>0.8111004178027772</v>
      </c>
      <c r="T151" s="134">
        <f>+IF(S151&gt;$B$13,VLOOKUP(P151,'$ alcantarillado'!$I$6:$N$22,5),P151)</f>
        <v>10</v>
      </c>
      <c r="U151" s="135">
        <f>IF(O151&gt;0,VLOOKUP(T151,'$ alcantarillado'!$I$5:$L$22,4),"0")</f>
        <v>0.22700000000000001</v>
      </c>
      <c r="V151" s="135">
        <f t="shared" ref="V151:V200" si="365">IF(T151&gt;0,PI()*((U151)^(8/3))*((J151)^0.5)/($B$2*4^(5/3)),"")</f>
        <v>1.636751715152987E-2</v>
      </c>
      <c r="W151" s="136">
        <f t="shared" ref="W151:W182" si="366">IF(T151&gt;0,M151/V151,0)</f>
        <v>0.8111004178027772</v>
      </c>
      <c r="X151" s="136">
        <f>IF(T151&gt;0,4*V151/(PI()*(U151)^2),"")</f>
        <v>0.40442799368237031</v>
      </c>
      <c r="Y151" s="135">
        <f>IF(T151&gt;0,(VLOOKUP($W151,Relaciones!$A$4:$D$108,2)),"")</f>
        <v>0.98699999999999999</v>
      </c>
      <c r="Z151" s="136">
        <f>IF(T151&gt;0,Y151*X151,"")</f>
        <v>0.39917042976449951</v>
      </c>
      <c r="AA151" s="136">
        <f>IF(T151&gt;0,250*U151*J151,"")</f>
        <v>4.2562499999996575E-2</v>
      </c>
      <c r="AB151" s="137" t="str">
        <f>IF(T151&gt;0,IF(W151&lt;=$B$13,"OK","No Cumple"),"")</f>
        <v>OK</v>
      </c>
      <c r="AC151" s="137" t="str">
        <f>IF(T151&gt;0,IF(Z151&gt;=$B$12,"OK","No Cumple"),"")</f>
        <v>No Cumple</v>
      </c>
      <c r="AD151" s="137" t="str">
        <f>IF(T151&gt;0,IF(AA151&gt;$B$14,"OK","No Cumple"),"")</f>
        <v>No Cumple</v>
      </c>
      <c r="AE151" s="138">
        <f>+IF(AB151="OK",1,0)</f>
        <v>1</v>
      </c>
      <c r="AF151" s="138">
        <f>+IF(AC151="OK",1,0)</f>
        <v>0</v>
      </c>
      <c r="AG151" s="138">
        <f>+IF(AD151="OK",1,0)</f>
        <v>0</v>
      </c>
      <c r="AH151" s="138">
        <f>SUM(AE151:AG151)</f>
        <v>1</v>
      </c>
      <c r="AI151" s="137">
        <f>IF(AH151=3,2*$B$7+U151,0)</f>
        <v>0</v>
      </c>
      <c r="AJ151" s="139">
        <f>IF(AI151&gt;0,I151*VLOOKUP(T151,'$ alcantarillado'!$I$6:$K$22,3),0)</f>
        <v>0</v>
      </c>
      <c r="AK151" s="139">
        <f t="shared" ref="AK151:AK175" si="367">IF(N151&gt;0,((($D$151-F151)+(U151))+(($D$176-H151)+(U151))/2)*AI151*I151*$C$9,0)</f>
        <v>0</v>
      </c>
      <c r="AL151" s="139">
        <f t="shared" ref="AL151:AL175" si="368">IF(AI151&gt;0,(($D$151-F151)+U151)*$C$10,0)</f>
        <v>0</v>
      </c>
      <c r="AM151" s="139">
        <f>IF(AJ151&gt;0,AJ151+AK151+AL151,0)</f>
        <v>0</v>
      </c>
      <c r="AN151" s="174">
        <v>0</v>
      </c>
      <c r="AO151" s="140" t="str">
        <f t="shared" ref="AO151:AO175" si="369">IF((AM151+AN151)&gt;0,(AM151+AN151),"")</f>
        <v/>
      </c>
      <c r="AP151" s="217">
        <f>+MIN(AO151:AO155)</f>
        <v>0</v>
      </c>
      <c r="AQ151" s="129"/>
      <c r="AR151" s="163"/>
    </row>
    <row r="152" spans="1:44" x14ac:dyDescent="0.25">
      <c r="A152" s="230"/>
      <c r="B152" s="230"/>
      <c r="C152" s="230"/>
      <c r="D152" s="230"/>
      <c r="E152" s="141">
        <v>2</v>
      </c>
      <c r="F152" s="128">
        <f>+F151-$B$4</f>
        <v>47.129999999999995</v>
      </c>
      <c r="G152" s="141">
        <v>1</v>
      </c>
      <c r="H152" s="146">
        <f>+H151</f>
        <v>47.57</v>
      </c>
      <c r="I152" s="142">
        <f>+I151</f>
        <v>80</v>
      </c>
      <c r="J152" s="143">
        <f t="shared" ref="J152:J175" si="370">+(F152-H152)/I152</f>
        <v>-5.5000000000000604E-3</v>
      </c>
      <c r="K152" s="142">
        <f>+K151</f>
        <v>948</v>
      </c>
      <c r="L152" s="128">
        <f t="shared" ref="L152:L175" si="371">IF(K152&lt;38,K152^0.3686*0.7401,IF(K152&lt;235,K152^0.4193*0.6215,IF(K152&lt;932,K152*0.0092+4.2493,K152*0.0069+6.7345)))</f>
        <v>13.275700000000001</v>
      </c>
      <c r="M152" s="144">
        <f t="shared" ref="M152:M155" si="372">+L152/1000</f>
        <v>1.32757E-2</v>
      </c>
      <c r="N152" s="144">
        <f t="shared" si="360"/>
        <v>0</v>
      </c>
      <c r="O152" s="144">
        <f t="shared" si="361"/>
        <v>0</v>
      </c>
      <c r="P152" s="145">
        <f t="shared" si="362"/>
        <v>0</v>
      </c>
      <c r="Q152" s="113" t="str">
        <f>IF(O152&gt;0,VLOOKUP(P152,'$ alcantarillado'!$I$5:$L$22,4,FALSE),"0")</f>
        <v>0</v>
      </c>
      <c r="R152" s="113" t="str">
        <f t="shared" si="363"/>
        <v/>
      </c>
      <c r="S152" s="146">
        <f t="shared" si="364"/>
        <v>0</v>
      </c>
      <c r="T152" s="145">
        <f>+IF(S152&gt;$B$13,VLOOKUP(P152,'$ alcantarillado'!$I$6:$N$22,5),P152)</f>
        <v>0</v>
      </c>
      <c r="U152" s="113" t="str">
        <f>IF(O152&gt;0,VLOOKUP(T152,'$ alcantarillado'!$I$5:$L$22,4),"0")</f>
        <v>0</v>
      </c>
      <c r="V152" s="113" t="str">
        <f t="shared" si="365"/>
        <v/>
      </c>
      <c r="W152" s="146">
        <f t="shared" si="366"/>
        <v>0</v>
      </c>
      <c r="X152" s="146" t="str">
        <f t="shared" ref="X152:X155" si="373">IF(T152&gt;0,4*V152/(PI()*(U152)^2),"")</f>
        <v/>
      </c>
      <c r="Y152" s="113" t="str">
        <f>IF(T152&gt;0,(VLOOKUP($W152,Relaciones!$A$4:$D$108,2)),"")</f>
        <v/>
      </c>
      <c r="Z152" s="146" t="str">
        <f t="shared" ref="Z152:Z155" si="374">IF(T152&gt;0,Y152*X152,"")</f>
        <v/>
      </c>
      <c r="AA152" s="146" t="str">
        <f t="shared" ref="AA152:AA155" si="375">IF(T152&gt;0,250*U152*J152,"")</f>
        <v/>
      </c>
      <c r="AB152" s="147" t="str">
        <f t="shared" ref="AB152:AB155" si="376">IF(T152&gt;0,IF(W152&lt;=$B$13,"OK","No Cumple"),"")</f>
        <v/>
      </c>
      <c r="AC152" s="147" t="str">
        <f t="shared" ref="AC152:AC155" si="377">IF(T152&gt;0,IF(Z152&gt;=$B$12,"OK","No Cumple"),"")</f>
        <v/>
      </c>
      <c r="AD152" s="147" t="str">
        <f t="shared" ref="AD152:AD155" si="378">IF(T152&gt;0,IF(AA152&gt;$B$14,"OK","No Cumple"),"")</f>
        <v/>
      </c>
      <c r="AE152" s="148">
        <f t="shared" ref="AE152:AG155" si="379">+IF(AB152="OK",1,0)</f>
        <v>0</v>
      </c>
      <c r="AF152" s="148">
        <f t="shared" si="379"/>
        <v>0</v>
      </c>
      <c r="AG152" s="148">
        <f t="shared" si="379"/>
        <v>0</v>
      </c>
      <c r="AH152" s="148">
        <f t="shared" ref="AH152:AH155" si="380">SUM(AE152:AG152)</f>
        <v>0</v>
      </c>
      <c r="AI152" s="147">
        <f t="shared" ref="AI152:AI155" si="381">IF(AH152=3,2*$B$7+U152,0)</f>
        <v>0</v>
      </c>
      <c r="AJ152" s="149">
        <f>IF(AI152&gt;0,I152*VLOOKUP(T152,'$ alcantarillado'!$I$6:$K$22,3),0)</f>
        <v>0</v>
      </c>
      <c r="AK152" s="149">
        <f t="shared" si="367"/>
        <v>0</v>
      </c>
      <c r="AL152" s="149">
        <f t="shared" si="368"/>
        <v>0</v>
      </c>
      <c r="AM152" s="149">
        <f t="shared" ref="AM152:AM175" si="382">IF(AJ152&gt;0,AJ152+AK152+AL152,0)</f>
        <v>0</v>
      </c>
      <c r="AN152" s="175">
        <v>0</v>
      </c>
      <c r="AO152" s="150" t="str">
        <f t="shared" si="369"/>
        <v/>
      </c>
      <c r="AP152" s="218"/>
      <c r="AQ152" s="142"/>
      <c r="AR152" s="165"/>
    </row>
    <row r="153" spans="1:44" x14ac:dyDescent="0.25">
      <c r="A153" s="230"/>
      <c r="B153" s="230"/>
      <c r="C153" s="230"/>
      <c r="D153" s="230"/>
      <c r="E153" s="151">
        <v>3</v>
      </c>
      <c r="F153" s="128">
        <f>+F152-$B$4</f>
        <v>46.629999999999995</v>
      </c>
      <c r="G153" s="151">
        <v>1</v>
      </c>
      <c r="H153" s="142">
        <f t="shared" ref="H153:I154" si="383">+H152</f>
        <v>47.57</v>
      </c>
      <c r="I153" s="142">
        <f t="shared" si="383"/>
        <v>80</v>
      </c>
      <c r="J153" s="143">
        <f t="shared" si="370"/>
        <v>-1.1750000000000061E-2</v>
      </c>
      <c r="K153" s="142">
        <f t="shared" ref="K153:K154" si="384">+K152</f>
        <v>948</v>
      </c>
      <c r="L153" s="128">
        <f t="shared" si="371"/>
        <v>13.275700000000001</v>
      </c>
      <c r="M153" s="144">
        <f t="shared" si="372"/>
        <v>1.32757E-2</v>
      </c>
      <c r="N153" s="144">
        <f t="shared" si="360"/>
        <v>0</v>
      </c>
      <c r="O153" s="144">
        <f t="shared" si="361"/>
        <v>0</v>
      </c>
      <c r="P153" s="145">
        <f t="shared" si="362"/>
        <v>0</v>
      </c>
      <c r="Q153" s="113" t="str">
        <f>IF(O153&gt;0,VLOOKUP(P153,'$ alcantarillado'!$I$5:$L$22,4,FALSE),"0")</f>
        <v>0</v>
      </c>
      <c r="R153" s="113" t="str">
        <f t="shared" si="363"/>
        <v/>
      </c>
      <c r="S153" s="146">
        <f t="shared" si="364"/>
        <v>0</v>
      </c>
      <c r="T153" s="145">
        <f>+IF(S153&gt;$B$13,VLOOKUP(P153,'$ alcantarillado'!$I$6:$N$22,5),P153)</f>
        <v>0</v>
      </c>
      <c r="U153" s="113" t="str">
        <f>IF(O153&gt;0,VLOOKUP(T153,'$ alcantarillado'!$I$5:$L$22,4),"0")</f>
        <v>0</v>
      </c>
      <c r="V153" s="113" t="str">
        <f t="shared" si="365"/>
        <v/>
      </c>
      <c r="W153" s="146">
        <f t="shared" si="366"/>
        <v>0</v>
      </c>
      <c r="X153" s="146" t="str">
        <f t="shared" si="373"/>
        <v/>
      </c>
      <c r="Y153" s="113" t="str">
        <f>IF(T153&gt;0,(VLOOKUP($W153,Relaciones!$A$4:$D$108,2)),"")</f>
        <v/>
      </c>
      <c r="Z153" s="146" t="str">
        <f t="shared" si="374"/>
        <v/>
      </c>
      <c r="AA153" s="146" t="str">
        <f t="shared" si="375"/>
        <v/>
      </c>
      <c r="AB153" s="147" t="str">
        <f t="shared" si="376"/>
        <v/>
      </c>
      <c r="AC153" s="147" t="str">
        <f t="shared" si="377"/>
        <v/>
      </c>
      <c r="AD153" s="147" t="str">
        <f t="shared" si="378"/>
        <v/>
      </c>
      <c r="AE153" s="148">
        <f t="shared" si="379"/>
        <v>0</v>
      </c>
      <c r="AF153" s="148">
        <f t="shared" si="379"/>
        <v>0</v>
      </c>
      <c r="AG153" s="148">
        <f t="shared" si="379"/>
        <v>0</v>
      </c>
      <c r="AH153" s="148">
        <f t="shared" si="380"/>
        <v>0</v>
      </c>
      <c r="AI153" s="147">
        <f t="shared" si="381"/>
        <v>0</v>
      </c>
      <c r="AJ153" s="149">
        <f>IF(AI153&gt;0,I153*VLOOKUP(T153,'$ alcantarillado'!$I$6:$K$22,3),0)</f>
        <v>0</v>
      </c>
      <c r="AK153" s="149">
        <f t="shared" si="367"/>
        <v>0</v>
      </c>
      <c r="AL153" s="149">
        <f t="shared" si="368"/>
        <v>0</v>
      </c>
      <c r="AM153" s="149">
        <f t="shared" si="382"/>
        <v>0</v>
      </c>
      <c r="AN153" s="175">
        <v>0</v>
      </c>
      <c r="AO153" s="150" t="str">
        <f t="shared" si="369"/>
        <v/>
      </c>
      <c r="AP153" s="219"/>
      <c r="AQ153" s="142"/>
      <c r="AR153" s="165"/>
    </row>
    <row r="154" spans="1:44" x14ac:dyDescent="0.25">
      <c r="A154" s="230"/>
      <c r="B154" s="230"/>
      <c r="C154" s="230"/>
      <c r="D154" s="230"/>
      <c r="E154" s="151">
        <v>4</v>
      </c>
      <c r="F154" s="128">
        <f>+F153-$B$4</f>
        <v>46.129999999999995</v>
      </c>
      <c r="G154" s="151">
        <v>1</v>
      </c>
      <c r="H154" s="142">
        <f t="shared" si="383"/>
        <v>47.57</v>
      </c>
      <c r="I154" s="142">
        <f t="shared" si="383"/>
        <v>80</v>
      </c>
      <c r="J154" s="143">
        <f>+(F154-H154)/I154</f>
        <v>-1.8000000000000061E-2</v>
      </c>
      <c r="K154" s="142">
        <f t="shared" si="384"/>
        <v>948</v>
      </c>
      <c r="L154" s="128">
        <f t="shared" si="371"/>
        <v>13.275700000000001</v>
      </c>
      <c r="M154" s="144">
        <f t="shared" si="372"/>
        <v>1.32757E-2</v>
      </c>
      <c r="N154" s="144">
        <f t="shared" si="360"/>
        <v>0</v>
      </c>
      <c r="O154" s="144">
        <f t="shared" si="361"/>
        <v>0</v>
      </c>
      <c r="P154" s="145">
        <f t="shared" si="362"/>
        <v>0</v>
      </c>
      <c r="Q154" s="113" t="str">
        <f>IF(O154&gt;0,VLOOKUP(P154,'$ alcantarillado'!$I$5:$L$22,4,FALSE),"0")</f>
        <v>0</v>
      </c>
      <c r="R154" s="113" t="str">
        <f t="shared" si="363"/>
        <v/>
      </c>
      <c r="S154" s="146">
        <f t="shared" si="364"/>
        <v>0</v>
      </c>
      <c r="T154" s="145">
        <f>+IF(S154&gt;$B$13,VLOOKUP(P154,'$ alcantarillado'!$I$6:$N$22,5),P154)</f>
        <v>0</v>
      </c>
      <c r="U154" s="113" t="str">
        <f>IF(O154&gt;0,VLOOKUP(T154,'$ alcantarillado'!$I$5:$L$22,4),"0")</f>
        <v>0</v>
      </c>
      <c r="V154" s="113" t="str">
        <f t="shared" si="365"/>
        <v/>
      </c>
      <c r="W154" s="146">
        <f t="shared" si="366"/>
        <v>0</v>
      </c>
      <c r="X154" s="146" t="str">
        <f t="shared" si="373"/>
        <v/>
      </c>
      <c r="Y154" s="113" t="str">
        <f>IF(T154&gt;0,(VLOOKUP($W154,Relaciones!$A$4:$D$108,2)),"")</f>
        <v/>
      </c>
      <c r="Z154" s="146" t="str">
        <f t="shared" si="374"/>
        <v/>
      </c>
      <c r="AA154" s="146" t="str">
        <f t="shared" si="375"/>
        <v/>
      </c>
      <c r="AB154" s="147" t="str">
        <f t="shared" si="376"/>
        <v/>
      </c>
      <c r="AC154" s="147" t="str">
        <f t="shared" si="377"/>
        <v/>
      </c>
      <c r="AD154" s="147" t="str">
        <f t="shared" si="378"/>
        <v/>
      </c>
      <c r="AE154" s="148">
        <f t="shared" si="379"/>
        <v>0</v>
      </c>
      <c r="AF154" s="148">
        <f t="shared" si="379"/>
        <v>0</v>
      </c>
      <c r="AG154" s="148">
        <f t="shared" si="379"/>
        <v>0</v>
      </c>
      <c r="AH154" s="148">
        <f t="shared" si="380"/>
        <v>0</v>
      </c>
      <c r="AI154" s="147">
        <f t="shared" si="381"/>
        <v>0</v>
      </c>
      <c r="AJ154" s="149">
        <f>IF(AI154&gt;0,I154*VLOOKUP(T154,'$ alcantarillado'!$I$6:$K$22,3),0)</f>
        <v>0</v>
      </c>
      <c r="AK154" s="149">
        <f t="shared" si="367"/>
        <v>0</v>
      </c>
      <c r="AL154" s="149">
        <f t="shared" si="368"/>
        <v>0</v>
      </c>
      <c r="AM154" s="149">
        <f t="shared" si="382"/>
        <v>0</v>
      </c>
      <c r="AN154" s="175">
        <v>0</v>
      </c>
      <c r="AO154" s="150" t="str">
        <f t="shared" si="369"/>
        <v/>
      </c>
      <c r="AP154" s="219"/>
      <c r="AQ154" s="142"/>
      <c r="AR154" s="165"/>
    </row>
    <row r="155" spans="1:44" ht="15.75" thickBot="1" x14ac:dyDescent="0.3">
      <c r="A155" s="230"/>
      <c r="B155" s="230"/>
      <c r="C155" s="230"/>
      <c r="D155" s="230"/>
      <c r="E155" s="152">
        <v>5</v>
      </c>
      <c r="F155" s="153">
        <f>+F154-$B$4</f>
        <v>45.629999999999995</v>
      </c>
      <c r="G155" s="152">
        <v>1</v>
      </c>
      <c r="H155" s="154">
        <f>+H154</f>
        <v>47.57</v>
      </c>
      <c r="I155" s="154">
        <f>+I154</f>
        <v>80</v>
      </c>
      <c r="J155" s="155">
        <f t="shared" si="370"/>
        <v>-2.425000000000006E-2</v>
      </c>
      <c r="K155" s="154">
        <f>+K154</f>
        <v>948</v>
      </c>
      <c r="L155" s="153">
        <f t="shared" si="371"/>
        <v>13.275700000000001</v>
      </c>
      <c r="M155" s="156">
        <f t="shared" si="372"/>
        <v>1.32757E-2</v>
      </c>
      <c r="N155" s="156">
        <f t="shared" si="360"/>
        <v>0</v>
      </c>
      <c r="O155" s="156">
        <f t="shared" si="361"/>
        <v>0</v>
      </c>
      <c r="P155" s="157">
        <f t="shared" si="362"/>
        <v>0</v>
      </c>
      <c r="Q155" s="113" t="str">
        <f>IF(O155&gt;0,VLOOKUP(P155,'$ alcantarillado'!$I$5:$L$22,4,FALSE),"0")</f>
        <v>0</v>
      </c>
      <c r="R155" s="113" t="str">
        <f t="shared" si="363"/>
        <v/>
      </c>
      <c r="S155" s="146">
        <f t="shared" si="364"/>
        <v>0</v>
      </c>
      <c r="T155" s="145">
        <f>+IF(S155&gt;$B$13,VLOOKUP(P155,'$ alcantarillado'!$I$6:$N$22,5),P155)</f>
        <v>0</v>
      </c>
      <c r="U155" s="113" t="str">
        <f>IF(O155&gt;0,VLOOKUP(T155,'$ alcantarillado'!$I$5:$L$22,4),"0")</f>
        <v>0</v>
      </c>
      <c r="V155" s="113" t="str">
        <f t="shared" si="365"/>
        <v/>
      </c>
      <c r="W155" s="146">
        <f t="shared" si="366"/>
        <v>0</v>
      </c>
      <c r="X155" s="146" t="str">
        <f t="shared" si="373"/>
        <v/>
      </c>
      <c r="Y155" s="113" t="str">
        <f>IF(T155&gt;0,(VLOOKUP($W155,Relaciones!$A$4:$D$108,2)),"")</f>
        <v/>
      </c>
      <c r="Z155" s="146" t="str">
        <f t="shared" si="374"/>
        <v/>
      </c>
      <c r="AA155" s="146" t="str">
        <f t="shared" si="375"/>
        <v/>
      </c>
      <c r="AB155" s="147" t="str">
        <f t="shared" si="376"/>
        <v/>
      </c>
      <c r="AC155" s="147" t="str">
        <f t="shared" si="377"/>
        <v/>
      </c>
      <c r="AD155" s="147" t="str">
        <f t="shared" si="378"/>
        <v/>
      </c>
      <c r="AE155" s="148">
        <f t="shared" si="379"/>
        <v>0</v>
      </c>
      <c r="AF155" s="148">
        <f t="shared" si="379"/>
        <v>0</v>
      </c>
      <c r="AG155" s="148">
        <f t="shared" si="379"/>
        <v>0</v>
      </c>
      <c r="AH155" s="148">
        <f t="shared" si="380"/>
        <v>0</v>
      </c>
      <c r="AI155" s="147">
        <f t="shared" si="381"/>
        <v>0</v>
      </c>
      <c r="AJ155" s="158">
        <f>IF(AI155&gt;0,I155*VLOOKUP(T155,'$ alcantarillado'!$I$6:$K$22,3),0)</f>
        <v>0</v>
      </c>
      <c r="AK155" s="149">
        <f t="shared" si="367"/>
        <v>0</v>
      </c>
      <c r="AL155" s="149">
        <f t="shared" si="368"/>
        <v>0</v>
      </c>
      <c r="AM155" s="158">
        <f t="shared" si="382"/>
        <v>0</v>
      </c>
      <c r="AN155" s="175">
        <v>0</v>
      </c>
      <c r="AO155" s="159" t="str">
        <f t="shared" si="369"/>
        <v/>
      </c>
      <c r="AP155" s="220"/>
      <c r="AQ155" s="154"/>
      <c r="AR155" s="166"/>
    </row>
    <row r="156" spans="1:44" x14ac:dyDescent="0.25">
      <c r="A156" s="230"/>
      <c r="B156" s="230"/>
      <c r="C156" s="230"/>
      <c r="D156" s="230"/>
      <c r="E156" s="127">
        <v>1</v>
      </c>
      <c r="F156" s="132">
        <f>+$D$151-$B$5</f>
        <v>47.629999999999995</v>
      </c>
      <c r="G156" s="127">
        <v>2</v>
      </c>
      <c r="H156" s="146">
        <f>+H161+$B$15</f>
        <v>47.445</v>
      </c>
      <c r="I156" s="142">
        <f>+I155</f>
        <v>80</v>
      </c>
      <c r="J156" s="143">
        <f>+(F156-H156)/I156</f>
        <v>2.3124999999999396E-3</v>
      </c>
      <c r="K156" s="142">
        <f>+K155</f>
        <v>948</v>
      </c>
      <c r="L156" s="132">
        <f>IF(K156&lt;38,K156^0.3686*0.7401,IF(K156&lt;235,K156^0.4193*0.6215,IF(K156&lt;932,K156*0.0092+4.2493,K156*0.0069+6.7345)))</f>
        <v>13.275700000000001</v>
      </c>
      <c r="M156" s="133">
        <f>+L156/1000</f>
        <v>1.32757E-2</v>
      </c>
      <c r="N156" s="133">
        <f t="shared" si="360"/>
        <v>0.16991726224424075</v>
      </c>
      <c r="O156" s="133">
        <f t="shared" si="361"/>
        <v>6.6896559938677465</v>
      </c>
      <c r="P156" s="134">
        <f t="shared" si="362"/>
        <v>8</v>
      </c>
      <c r="Q156" s="135">
        <f>IF(O156&gt;0,VLOOKUP(P156,'$ alcantarillado'!$I$5:$L$22,4,FALSE),"0")</f>
        <v>0.182</v>
      </c>
      <c r="R156" s="135">
        <f t="shared" si="363"/>
        <v>1.5944630491471507E-2</v>
      </c>
      <c r="S156" s="136">
        <f t="shared" si="364"/>
        <v>0.8326125843493789</v>
      </c>
      <c r="T156" s="134">
        <f>+IF(S156&gt;$B$13,VLOOKUP(P156,'$ alcantarillado'!$I$6:$N$22,5),P156)</f>
        <v>8</v>
      </c>
      <c r="U156" s="135">
        <f>IF(O156&gt;0,VLOOKUP(T156,'$ alcantarillado'!$I$5:$L$22,4),"0")</f>
        <v>0.182</v>
      </c>
      <c r="V156" s="135">
        <f t="shared" si="365"/>
        <v>1.5944630491471507E-2</v>
      </c>
      <c r="W156" s="136">
        <f t="shared" si="366"/>
        <v>0.8326125843493789</v>
      </c>
      <c r="X156" s="136">
        <f>IF(T156&gt;0,4*V156/(PI()*(U156)^2),"")</f>
        <v>0.61288896473649246</v>
      </c>
      <c r="Y156" s="135">
        <f>IF(T156&gt;0,(VLOOKUP($W156,Relaciones!$A$4:$D$108,2)),"")</f>
        <v>0.99299999999999999</v>
      </c>
      <c r="Z156" s="136">
        <f>IF(T156&gt;0,Y156*X156,"")</f>
        <v>0.60859874198333697</v>
      </c>
      <c r="AA156" s="136">
        <f>IF(T156&gt;0,250*U156*J156,"")</f>
        <v>0.10521874999999725</v>
      </c>
      <c r="AB156" s="137" t="str">
        <f>IF(T156&gt;0,IF(W156&lt;=$B$13,"OK","No Cumple"),"")</f>
        <v>OK</v>
      </c>
      <c r="AC156" s="137" t="str">
        <f>IF(T156&gt;0,IF(Z156&gt;=$B$12,"OK","No Cumple"),"")</f>
        <v>OK</v>
      </c>
      <c r="AD156" s="137" t="str">
        <f>IF(T156&gt;0,IF(AA156&gt;$B$14,"OK","No Cumple"),"")</f>
        <v>No Cumple</v>
      </c>
      <c r="AE156" s="138">
        <f>+IF(AB156="OK",1,0)</f>
        <v>1</v>
      </c>
      <c r="AF156" s="138">
        <f>+IF(AC156="OK",1,0)</f>
        <v>1</v>
      </c>
      <c r="AG156" s="138">
        <f>+IF(AD156="OK",1,0)</f>
        <v>0</v>
      </c>
      <c r="AH156" s="138">
        <f>SUM(AE156:AG156)</f>
        <v>2</v>
      </c>
      <c r="AI156" s="137">
        <f>IF(AH156=3,2*$B$7+U156,0)</f>
        <v>0</v>
      </c>
      <c r="AJ156" s="139">
        <f>IF(AI156&gt;0,I156*VLOOKUP(T156,'$ alcantarillado'!$I$6:$K$22,3),0)</f>
        <v>0</v>
      </c>
      <c r="AK156" s="139">
        <f t="shared" si="367"/>
        <v>0</v>
      </c>
      <c r="AL156" s="139">
        <f t="shared" si="368"/>
        <v>0</v>
      </c>
      <c r="AM156" s="139">
        <f>IF(AJ156&gt;0,AJ156+AK156+AL156,0)</f>
        <v>0</v>
      </c>
      <c r="AN156" s="174">
        <v>0</v>
      </c>
      <c r="AO156" s="140" t="str">
        <f t="shared" si="369"/>
        <v/>
      </c>
      <c r="AP156" s="217">
        <f>+MIN(AO156:AO160)</f>
        <v>0</v>
      </c>
      <c r="AQ156" s="142"/>
      <c r="AR156" s="165"/>
    </row>
    <row r="157" spans="1:44" x14ac:dyDescent="0.25">
      <c r="A157" s="230"/>
      <c r="B157" s="230"/>
      <c r="C157" s="230"/>
      <c r="D157" s="230"/>
      <c r="E157" s="141">
        <v>2</v>
      </c>
      <c r="F157" s="128">
        <f>+F156-$B$4</f>
        <v>47.129999999999995</v>
      </c>
      <c r="G157" s="141">
        <v>2</v>
      </c>
      <c r="H157" s="146">
        <f>+H156</f>
        <v>47.445</v>
      </c>
      <c r="I157" s="142">
        <f>+I156</f>
        <v>80</v>
      </c>
      <c r="J157" s="143">
        <f t="shared" si="370"/>
        <v>-3.9375000000000607E-3</v>
      </c>
      <c r="K157" s="142">
        <f>+K156</f>
        <v>948</v>
      </c>
      <c r="L157" s="128">
        <f t="shared" si="371"/>
        <v>13.275700000000001</v>
      </c>
      <c r="M157" s="144">
        <f t="shared" ref="M157:M160" si="385">+L157/1000</f>
        <v>1.32757E-2</v>
      </c>
      <c r="N157" s="144">
        <f t="shared" si="360"/>
        <v>0</v>
      </c>
      <c r="O157" s="144">
        <f t="shared" si="361"/>
        <v>0</v>
      </c>
      <c r="P157" s="145">
        <f t="shared" si="362"/>
        <v>0</v>
      </c>
      <c r="Q157" s="113" t="str">
        <f>IF(O157&gt;0,VLOOKUP(P157,'$ alcantarillado'!$I$5:$L$22,4,FALSE),"0")</f>
        <v>0</v>
      </c>
      <c r="R157" s="113" t="str">
        <f t="shared" si="363"/>
        <v/>
      </c>
      <c r="S157" s="146">
        <f t="shared" si="364"/>
        <v>0</v>
      </c>
      <c r="T157" s="145">
        <f>+IF(S157&gt;$B$13,VLOOKUP(P157,'$ alcantarillado'!$I$6:$N$22,5),P157)</f>
        <v>0</v>
      </c>
      <c r="U157" s="113" t="str">
        <f>IF(O157&gt;0,VLOOKUP(T157,'$ alcantarillado'!$I$5:$L$22,4),"0")</f>
        <v>0</v>
      </c>
      <c r="V157" s="113" t="str">
        <f t="shared" si="365"/>
        <v/>
      </c>
      <c r="W157" s="146">
        <f t="shared" si="366"/>
        <v>0</v>
      </c>
      <c r="X157" s="146" t="str">
        <f t="shared" ref="X157:X160" si="386">IF(T157&gt;0,4*V157/(PI()*(U157)^2),"")</f>
        <v/>
      </c>
      <c r="Y157" s="113" t="str">
        <f>IF(T157&gt;0,(VLOOKUP($W157,Relaciones!$A$4:$D$108,2)),"")</f>
        <v/>
      </c>
      <c r="Z157" s="146" t="str">
        <f t="shared" ref="Z157:Z160" si="387">IF(T157&gt;0,Y157*X157,"")</f>
        <v/>
      </c>
      <c r="AA157" s="146" t="str">
        <f t="shared" ref="AA157:AA160" si="388">IF(T157&gt;0,250*U157*J157,"")</f>
        <v/>
      </c>
      <c r="AB157" s="147" t="str">
        <f t="shared" ref="AB157:AB160" si="389">IF(T157&gt;0,IF(W157&lt;=$B$13,"OK","No Cumple"),"")</f>
        <v/>
      </c>
      <c r="AC157" s="147" t="str">
        <f t="shared" ref="AC157:AC160" si="390">IF(T157&gt;0,IF(Z157&gt;=$B$12,"OK","No Cumple"),"")</f>
        <v/>
      </c>
      <c r="AD157" s="147" t="str">
        <f t="shared" ref="AD157:AD160" si="391">IF(T157&gt;0,IF(AA157&gt;$B$14,"OK","No Cumple"),"")</f>
        <v/>
      </c>
      <c r="AE157" s="148">
        <f t="shared" ref="AE157:AG160" si="392">+IF(AB157="OK",1,0)</f>
        <v>0</v>
      </c>
      <c r="AF157" s="148">
        <f t="shared" si="392"/>
        <v>0</v>
      </c>
      <c r="AG157" s="148">
        <f t="shared" si="392"/>
        <v>0</v>
      </c>
      <c r="AH157" s="148">
        <f t="shared" ref="AH157:AH160" si="393">SUM(AE157:AG157)</f>
        <v>0</v>
      </c>
      <c r="AI157" s="147">
        <f t="shared" ref="AI157:AI160" si="394">IF(AH157=3,2*$B$7+U157,0)</f>
        <v>0</v>
      </c>
      <c r="AJ157" s="149">
        <f>IF(AI157&gt;0,I157*VLOOKUP(T157,'$ alcantarillado'!$I$6:$K$22,3),0)</f>
        <v>0</v>
      </c>
      <c r="AK157" s="149">
        <f t="shared" si="367"/>
        <v>0</v>
      </c>
      <c r="AL157" s="149">
        <f t="shared" si="368"/>
        <v>0</v>
      </c>
      <c r="AM157" s="149">
        <f t="shared" si="382"/>
        <v>0</v>
      </c>
      <c r="AN157" s="175">
        <v>0</v>
      </c>
      <c r="AO157" s="150" t="str">
        <f t="shared" si="369"/>
        <v/>
      </c>
      <c r="AP157" s="218"/>
      <c r="AQ157" s="142"/>
      <c r="AR157" s="165"/>
    </row>
    <row r="158" spans="1:44" x14ac:dyDescent="0.25">
      <c r="A158" s="230"/>
      <c r="B158" s="230"/>
      <c r="C158" s="230"/>
      <c r="D158" s="230"/>
      <c r="E158" s="151">
        <v>3</v>
      </c>
      <c r="F158" s="128">
        <f t="shared" ref="F158:F160" si="395">+F157-$B$4</f>
        <v>46.629999999999995</v>
      </c>
      <c r="G158" s="151">
        <v>2</v>
      </c>
      <c r="H158" s="146">
        <f t="shared" ref="H158:I159" si="396">+H157</f>
        <v>47.445</v>
      </c>
      <c r="I158" s="142">
        <f t="shared" si="396"/>
        <v>80</v>
      </c>
      <c r="J158" s="143">
        <f t="shared" si="370"/>
        <v>-1.0187500000000061E-2</v>
      </c>
      <c r="K158" s="142">
        <f t="shared" ref="K158:K159" si="397">+K157</f>
        <v>948</v>
      </c>
      <c r="L158" s="128">
        <f t="shared" si="371"/>
        <v>13.275700000000001</v>
      </c>
      <c r="M158" s="144">
        <f t="shared" si="385"/>
        <v>1.32757E-2</v>
      </c>
      <c r="N158" s="144">
        <f t="shared" si="360"/>
        <v>0</v>
      </c>
      <c r="O158" s="144">
        <f t="shared" si="361"/>
        <v>0</v>
      </c>
      <c r="P158" s="145">
        <f t="shared" si="362"/>
        <v>0</v>
      </c>
      <c r="Q158" s="113" t="str">
        <f>IF(O158&gt;0,VLOOKUP(P158,'$ alcantarillado'!$I$5:$L$22,4,FALSE),"0")</f>
        <v>0</v>
      </c>
      <c r="R158" s="113" t="str">
        <f t="shared" si="363"/>
        <v/>
      </c>
      <c r="S158" s="146">
        <f t="shared" si="364"/>
        <v>0</v>
      </c>
      <c r="T158" s="145">
        <f>+IF(S158&gt;$B$13,VLOOKUP(P158,'$ alcantarillado'!$I$6:$N$22,5),P158)</f>
        <v>0</v>
      </c>
      <c r="U158" s="113" t="str">
        <f>IF(O158&gt;0,VLOOKUP(T158,'$ alcantarillado'!$I$5:$L$22,4),"0")</f>
        <v>0</v>
      </c>
      <c r="V158" s="113" t="str">
        <f t="shared" si="365"/>
        <v/>
      </c>
      <c r="W158" s="146">
        <f t="shared" si="366"/>
        <v>0</v>
      </c>
      <c r="X158" s="146" t="str">
        <f t="shared" si="386"/>
        <v/>
      </c>
      <c r="Y158" s="113" t="str">
        <f>IF(T158&gt;0,(VLOOKUP($W158,Relaciones!$A$4:$D$108,2)),"")</f>
        <v/>
      </c>
      <c r="Z158" s="146" t="str">
        <f t="shared" si="387"/>
        <v/>
      </c>
      <c r="AA158" s="146" t="str">
        <f t="shared" si="388"/>
        <v/>
      </c>
      <c r="AB158" s="147" t="str">
        <f t="shared" si="389"/>
        <v/>
      </c>
      <c r="AC158" s="147" t="str">
        <f t="shared" si="390"/>
        <v/>
      </c>
      <c r="AD158" s="147" t="str">
        <f t="shared" si="391"/>
        <v/>
      </c>
      <c r="AE158" s="148">
        <f t="shared" si="392"/>
        <v>0</v>
      </c>
      <c r="AF158" s="148">
        <f t="shared" si="392"/>
        <v>0</v>
      </c>
      <c r="AG158" s="148">
        <f t="shared" si="392"/>
        <v>0</v>
      </c>
      <c r="AH158" s="148">
        <f t="shared" si="393"/>
        <v>0</v>
      </c>
      <c r="AI158" s="147">
        <f t="shared" si="394"/>
        <v>0</v>
      </c>
      <c r="AJ158" s="149">
        <f>IF(AI158&gt;0,I158*VLOOKUP(T158,'$ alcantarillado'!$I$6:$K$22,3),0)</f>
        <v>0</v>
      </c>
      <c r="AK158" s="149">
        <f t="shared" si="367"/>
        <v>0</v>
      </c>
      <c r="AL158" s="149">
        <f t="shared" si="368"/>
        <v>0</v>
      </c>
      <c r="AM158" s="149">
        <f t="shared" si="382"/>
        <v>0</v>
      </c>
      <c r="AN158" s="175">
        <v>0</v>
      </c>
      <c r="AO158" s="150" t="str">
        <f t="shared" si="369"/>
        <v/>
      </c>
      <c r="AP158" s="219"/>
      <c r="AQ158" s="142"/>
      <c r="AR158" s="165"/>
    </row>
    <row r="159" spans="1:44" x14ac:dyDescent="0.25">
      <c r="A159" s="230"/>
      <c r="B159" s="230"/>
      <c r="C159" s="230"/>
      <c r="D159" s="230"/>
      <c r="E159" s="151">
        <v>4</v>
      </c>
      <c r="F159" s="128">
        <f t="shared" si="395"/>
        <v>46.129999999999995</v>
      </c>
      <c r="G159" s="151">
        <v>2</v>
      </c>
      <c r="H159" s="146">
        <f t="shared" si="396"/>
        <v>47.445</v>
      </c>
      <c r="I159" s="142">
        <f t="shared" si="396"/>
        <v>80</v>
      </c>
      <c r="J159" s="143">
        <f>+(F159-H159)/I159</f>
        <v>-1.643750000000006E-2</v>
      </c>
      <c r="K159" s="142">
        <f t="shared" si="397"/>
        <v>948</v>
      </c>
      <c r="L159" s="128">
        <f t="shared" si="371"/>
        <v>13.275700000000001</v>
      </c>
      <c r="M159" s="144">
        <f t="shared" si="385"/>
        <v>1.32757E-2</v>
      </c>
      <c r="N159" s="144">
        <f t="shared" si="360"/>
        <v>0</v>
      </c>
      <c r="O159" s="144">
        <f t="shared" si="361"/>
        <v>0</v>
      </c>
      <c r="P159" s="145">
        <f t="shared" si="362"/>
        <v>0</v>
      </c>
      <c r="Q159" s="113" t="str">
        <f>IF(O159&gt;0,VLOOKUP(P159,'$ alcantarillado'!$I$5:$L$22,4,FALSE),"0")</f>
        <v>0</v>
      </c>
      <c r="R159" s="113" t="str">
        <f t="shared" si="363"/>
        <v/>
      </c>
      <c r="S159" s="146">
        <f t="shared" si="364"/>
        <v>0</v>
      </c>
      <c r="T159" s="145">
        <f>+IF(S159&gt;$B$13,VLOOKUP(P159,'$ alcantarillado'!$I$6:$N$22,5),P159)</f>
        <v>0</v>
      </c>
      <c r="U159" s="113" t="str">
        <f>IF(O159&gt;0,VLOOKUP(T159,'$ alcantarillado'!$I$5:$L$22,4),"0")</f>
        <v>0</v>
      </c>
      <c r="V159" s="113" t="str">
        <f t="shared" si="365"/>
        <v/>
      </c>
      <c r="W159" s="146">
        <f t="shared" si="366"/>
        <v>0</v>
      </c>
      <c r="X159" s="146" t="str">
        <f t="shared" si="386"/>
        <v/>
      </c>
      <c r="Y159" s="113" t="str">
        <f>IF(T159&gt;0,(VLOOKUP($W159,Relaciones!$A$4:$D$108,2)),"")</f>
        <v/>
      </c>
      <c r="Z159" s="146" t="str">
        <f t="shared" si="387"/>
        <v/>
      </c>
      <c r="AA159" s="146" t="str">
        <f t="shared" si="388"/>
        <v/>
      </c>
      <c r="AB159" s="147" t="str">
        <f t="shared" si="389"/>
        <v/>
      </c>
      <c r="AC159" s="147" t="str">
        <f t="shared" si="390"/>
        <v/>
      </c>
      <c r="AD159" s="147" t="str">
        <f t="shared" si="391"/>
        <v/>
      </c>
      <c r="AE159" s="148">
        <f t="shared" si="392"/>
        <v>0</v>
      </c>
      <c r="AF159" s="148">
        <f t="shared" si="392"/>
        <v>0</v>
      </c>
      <c r="AG159" s="148">
        <f t="shared" si="392"/>
        <v>0</v>
      </c>
      <c r="AH159" s="148">
        <f t="shared" si="393"/>
        <v>0</v>
      </c>
      <c r="AI159" s="147">
        <f t="shared" si="394"/>
        <v>0</v>
      </c>
      <c r="AJ159" s="149">
        <f>IF(AI159&gt;0,I159*VLOOKUP(T159,'$ alcantarillado'!$I$6:$K$22,3),0)</f>
        <v>0</v>
      </c>
      <c r="AK159" s="149">
        <f t="shared" si="367"/>
        <v>0</v>
      </c>
      <c r="AL159" s="149">
        <f t="shared" si="368"/>
        <v>0</v>
      </c>
      <c r="AM159" s="149">
        <f t="shared" si="382"/>
        <v>0</v>
      </c>
      <c r="AN159" s="175">
        <v>0</v>
      </c>
      <c r="AO159" s="150" t="str">
        <f t="shared" si="369"/>
        <v/>
      </c>
      <c r="AP159" s="219"/>
      <c r="AQ159" s="142"/>
      <c r="AR159" s="165"/>
    </row>
    <row r="160" spans="1:44" ht="15.75" thickBot="1" x14ac:dyDescent="0.3">
      <c r="A160" s="230"/>
      <c r="B160" s="230"/>
      <c r="C160" s="230"/>
      <c r="D160" s="230"/>
      <c r="E160" s="152">
        <v>5</v>
      </c>
      <c r="F160" s="153">
        <f t="shared" si="395"/>
        <v>45.629999999999995</v>
      </c>
      <c r="G160" s="152">
        <v>2</v>
      </c>
      <c r="H160" s="169">
        <f>+H159</f>
        <v>47.445</v>
      </c>
      <c r="I160" s="154">
        <f>+I159</f>
        <v>80</v>
      </c>
      <c r="J160" s="155">
        <f t="shared" si="370"/>
        <v>-2.2687500000000062E-2</v>
      </c>
      <c r="K160" s="154">
        <f>+K159</f>
        <v>948</v>
      </c>
      <c r="L160" s="153">
        <f t="shared" si="371"/>
        <v>13.275700000000001</v>
      </c>
      <c r="M160" s="156">
        <f t="shared" si="385"/>
        <v>1.32757E-2</v>
      </c>
      <c r="N160" s="156">
        <f t="shared" si="360"/>
        <v>0</v>
      </c>
      <c r="O160" s="156">
        <f t="shared" si="361"/>
        <v>0</v>
      </c>
      <c r="P160" s="157">
        <f t="shared" si="362"/>
        <v>0</v>
      </c>
      <c r="Q160" s="113" t="str">
        <f>IF(O160&gt;0,VLOOKUP(P160,'$ alcantarillado'!$I$5:$L$22,4,FALSE),"0")</f>
        <v>0</v>
      </c>
      <c r="R160" s="160" t="str">
        <f t="shared" si="363"/>
        <v/>
      </c>
      <c r="S160" s="146">
        <f t="shared" si="364"/>
        <v>0</v>
      </c>
      <c r="T160" s="145">
        <f>+IF(S160&gt;$B$13,VLOOKUP(P160,'$ alcantarillado'!$I$6:$N$22,5),P160)</f>
        <v>0</v>
      </c>
      <c r="U160" s="113" t="str">
        <f>IF(O160&gt;0,VLOOKUP(T160,'$ alcantarillado'!$I$5:$L$22,4),"0")</f>
        <v>0</v>
      </c>
      <c r="V160" s="113" t="str">
        <f t="shared" si="365"/>
        <v/>
      </c>
      <c r="W160" s="146">
        <f t="shared" si="366"/>
        <v>0</v>
      </c>
      <c r="X160" s="146" t="str">
        <f t="shared" si="386"/>
        <v/>
      </c>
      <c r="Y160" s="113" t="str">
        <f>IF(T160&gt;0,(VLOOKUP($W160,Relaciones!$A$4:$D$108,2)),"")</f>
        <v/>
      </c>
      <c r="Z160" s="146" t="str">
        <f t="shared" si="387"/>
        <v/>
      </c>
      <c r="AA160" s="146" t="str">
        <f t="shared" si="388"/>
        <v/>
      </c>
      <c r="AB160" s="147" t="str">
        <f t="shared" si="389"/>
        <v/>
      </c>
      <c r="AC160" s="147" t="str">
        <f t="shared" si="390"/>
        <v/>
      </c>
      <c r="AD160" s="147" t="str">
        <f t="shared" si="391"/>
        <v/>
      </c>
      <c r="AE160" s="148">
        <f t="shared" si="392"/>
        <v>0</v>
      </c>
      <c r="AF160" s="148">
        <f t="shared" si="392"/>
        <v>0</v>
      </c>
      <c r="AG160" s="148">
        <f t="shared" si="392"/>
        <v>0</v>
      </c>
      <c r="AH160" s="148">
        <f t="shared" si="393"/>
        <v>0</v>
      </c>
      <c r="AI160" s="147">
        <f t="shared" si="394"/>
        <v>0</v>
      </c>
      <c r="AJ160" s="158">
        <f>IF(AI160&gt;0,I160*VLOOKUP(T160,'$ alcantarillado'!$I$6:$K$22,3),0)</f>
        <v>0</v>
      </c>
      <c r="AK160" s="149">
        <f t="shared" si="367"/>
        <v>0</v>
      </c>
      <c r="AL160" s="149">
        <f t="shared" si="368"/>
        <v>0</v>
      </c>
      <c r="AM160" s="158">
        <f t="shared" si="382"/>
        <v>0</v>
      </c>
      <c r="AN160" s="175">
        <v>0</v>
      </c>
      <c r="AO160" s="159" t="str">
        <f t="shared" si="369"/>
        <v/>
      </c>
      <c r="AP160" s="220"/>
      <c r="AQ160" s="154"/>
      <c r="AR160" s="166"/>
    </row>
    <row r="161" spans="1:44" x14ac:dyDescent="0.25">
      <c r="A161" s="230"/>
      <c r="B161" s="230"/>
      <c r="C161" s="230"/>
      <c r="D161" s="230"/>
      <c r="E161" s="127">
        <v>1</v>
      </c>
      <c r="F161" s="132">
        <f>+$D$151-$B$5</f>
        <v>47.629999999999995</v>
      </c>
      <c r="G161" s="127">
        <v>3</v>
      </c>
      <c r="H161" s="129">
        <f>+'LOGIKA AN-3'!H161</f>
        <v>47.32</v>
      </c>
      <c r="I161" s="129">
        <f t="shared" ref="I161" si="398">+I160</f>
        <v>80</v>
      </c>
      <c r="J161" s="143">
        <f>+(F161-H161)/I161</f>
        <v>3.8749999999999397E-3</v>
      </c>
      <c r="K161" s="129">
        <f t="shared" ref="K161" si="399">+K160</f>
        <v>948</v>
      </c>
      <c r="L161" s="132">
        <f>IF(K161&lt;38,K161^0.3686*0.7401,IF(K161&lt;235,K161^0.4193*0.6215,IF(K161&lt;932,K161*0.0092+4.2493,K161*0.0069+6.7345)))</f>
        <v>13.275700000000001</v>
      </c>
      <c r="M161" s="133">
        <f>+L161/1000</f>
        <v>1.32757E-2</v>
      </c>
      <c r="N161" s="133">
        <f t="shared" si="360"/>
        <v>0.15424172849385967</v>
      </c>
      <c r="O161" s="133">
        <f t="shared" si="361"/>
        <v>6.0725089958212468</v>
      </c>
      <c r="P161" s="134">
        <f t="shared" si="362"/>
        <v>8</v>
      </c>
      <c r="Q161" s="135">
        <f>IF(O161&gt;0,VLOOKUP(P161,'$ alcantarillado'!$I$5:$L$22,4,FALSE),"0")</f>
        <v>0.182</v>
      </c>
      <c r="R161" s="135">
        <f t="shared" si="363"/>
        <v>2.0639988066721529E-2</v>
      </c>
      <c r="S161" s="136">
        <f t="shared" si="364"/>
        <v>0.6432028912557759</v>
      </c>
      <c r="T161" s="134">
        <f>+IF(S161&gt;$B$13,VLOOKUP(P161,'$ alcantarillado'!$I$6:$N$22,5),P161)</f>
        <v>8</v>
      </c>
      <c r="U161" s="135">
        <f>IF(O161&gt;0,VLOOKUP(T161,'$ alcantarillado'!$I$5:$L$22,4),"0")</f>
        <v>0.182</v>
      </c>
      <c r="V161" s="135">
        <f t="shared" si="365"/>
        <v>2.0639988066721529E-2</v>
      </c>
      <c r="W161" s="136">
        <f t="shared" si="366"/>
        <v>0.6432028912557759</v>
      </c>
      <c r="X161" s="136">
        <f>IF(T161&gt;0,4*V161/(PI()*(U161)^2),"")</f>
        <v>0.79337184547191486</v>
      </c>
      <c r="Y161" s="135">
        <f>IF(T161&gt;0,(VLOOKUP($W161,Relaciones!$A$4:$D$108,2)),"")</f>
        <v>0.91800000000000004</v>
      </c>
      <c r="Z161" s="136">
        <f>IF(T161&gt;0,Y161*X161,"")</f>
        <v>0.72831535414321791</v>
      </c>
      <c r="AA161" s="136">
        <f>IF(T161&gt;0,250*U161*J161,"")</f>
        <v>0.17631249999999726</v>
      </c>
      <c r="AB161" s="137" t="str">
        <f>IF(T161&gt;0,IF(W161&lt;=$B$13,"OK","No Cumple"),"")</f>
        <v>OK</v>
      </c>
      <c r="AC161" s="137" t="str">
        <f>IF(T161&gt;0,IF(Z161&gt;=$B$12,"OK","No Cumple"),"")</f>
        <v>OK</v>
      </c>
      <c r="AD161" s="137" t="str">
        <f>IF(T161&gt;0,IF(AA161&gt;$B$14,"OK","No Cumple"),"")</f>
        <v>OK</v>
      </c>
      <c r="AE161" s="138">
        <f>+IF(AB161="OK",1,0)</f>
        <v>1</v>
      </c>
      <c r="AF161" s="138">
        <f>+IF(AC161="OK",1,0)</f>
        <v>1</v>
      </c>
      <c r="AG161" s="138">
        <f>+IF(AD161="OK",1,0)</f>
        <v>1</v>
      </c>
      <c r="AH161" s="138">
        <f>SUM(AE161:AG161)</f>
        <v>3</v>
      </c>
      <c r="AI161" s="137">
        <f>IF(AH161=3,2*$B$7+U161,0)</f>
        <v>0.68199999999999994</v>
      </c>
      <c r="AJ161" s="139">
        <f>IF(AI161&gt;0,I161*VLOOKUP(T161,'$ alcantarillado'!$I$6:$K$22,3),0)</f>
        <v>2654586.666666667</v>
      </c>
      <c r="AK161" s="139">
        <f t="shared" si="367"/>
        <v>2281371.8400000036</v>
      </c>
      <c r="AL161" s="139">
        <f t="shared" si="368"/>
        <v>964609.74200000195</v>
      </c>
      <c r="AM161" s="139">
        <f>IF(AJ161&gt;0,AJ161+AK161+AL161,0)</f>
        <v>5900568.248666672</v>
      </c>
      <c r="AN161" s="174">
        <v>0</v>
      </c>
      <c r="AO161" s="173">
        <f t="shared" si="369"/>
        <v>5900568.248666672</v>
      </c>
      <c r="AP161" s="225">
        <f>+MIN(AO161:AO165)</f>
        <v>5900568.248666672</v>
      </c>
      <c r="AQ161" s="129"/>
      <c r="AR161" s="163"/>
    </row>
    <row r="162" spans="1:44" x14ac:dyDescent="0.25">
      <c r="A162" s="230"/>
      <c r="B162" s="230"/>
      <c r="C162" s="230"/>
      <c r="D162" s="230"/>
      <c r="E162" s="141">
        <v>2</v>
      </c>
      <c r="F162" s="128">
        <f>+F161-$B$4</f>
        <v>47.129999999999995</v>
      </c>
      <c r="G162" s="141">
        <v>3</v>
      </c>
      <c r="H162" s="142">
        <f>+H161</f>
        <v>47.32</v>
      </c>
      <c r="I162" s="142">
        <f>+I161</f>
        <v>80</v>
      </c>
      <c r="J162" s="143">
        <f t="shared" si="370"/>
        <v>-2.3750000000000602E-3</v>
      </c>
      <c r="K162" s="142">
        <f>+K161</f>
        <v>948</v>
      </c>
      <c r="L162" s="128">
        <f t="shared" si="371"/>
        <v>13.275700000000001</v>
      </c>
      <c r="M162" s="144">
        <f t="shared" ref="M162:M165" si="400">+L162/1000</f>
        <v>1.32757E-2</v>
      </c>
      <c r="N162" s="144">
        <f t="shared" si="360"/>
        <v>0</v>
      </c>
      <c r="O162" s="144">
        <f t="shared" si="361"/>
        <v>0</v>
      </c>
      <c r="P162" s="145">
        <f t="shared" si="362"/>
        <v>0</v>
      </c>
      <c r="Q162" s="113" t="str">
        <f>IF(O162&gt;0,VLOOKUP(P162,'$ alcantarillado'!$I$5:$L$22,4,FALSE),"0")</f>
        <v>0</v>
      </c>
      <c r="R162" s="113" t="str">
        <f t="shared" si="363"/>
        <v/>
      </c>
      <c r="S162" s="146">
        <f t="shared" si="364"/>
        <v>0</v>
      </c>
      <c r="T162" s="145">
        <f>+IF(S162&gt;$B$13,VLOOKUP(P162,'$ alcantarillado'!$I$6:$N$22,5),P162)</f>
        <v>0</v>
      </c>
      <c r="U162" s="113" t="str">
        <f>IF(O162&gt;0,VLOOKUP(T162,'$ alcantarillado'!$I$5:$L$22,4),"0")</f>
        <v>0</v>
      </c>
      <c r="V162" s="113" t="str">
        <f t="shared" si="365"/>
        <v/>
      </c>
      <c r="W162" s="146">
        <f t="shared" si="366"/>
        <v>0</v>
      </c>
      <c r="X162" s="146" t="str">
        <f t="shared" ref="X162:X165" si="401">IF(T162&gt;0,4*V162/(PI()*(U162)^2),"")</f>
        <v/>
      </c>
      <c r="Y162" s="113" t="str">
        <f>IF(T162&gt;0,(VLOOKUP($W162,Relaciones!$A$4:$D$108,2)),"")</f>
        <v/>
      </c>
      <c r="Z162" s="146" t="str">
        <f t="shared" ref="Z162:Z165" si="402">IF(T162&gt;0,Y162*X162,"")</f>
        <v/>
      </c>
      <c r="AA162" s="146" t="str">
        <f t="shared" ref="AA162:AA165" si="403">IF(T162&gt;0,250*U162*J162,"")</f>
        <v/>
      </c>
      <c r="AB162" s="147" t="str">
        <f t="shared" ref="AB162:AB165" si="404">IF(T162&gt;0,IF(W162&lt;=$B$13,"OK","No Cumple"),"")</f>
        <v/>
      </c>
      <c r="AC162" s="147" t="str">
        <f t="shared" ref="AC162:AC165" si="405">IF(T162&gt;0,IF(Z162&gt;=$B$12,"OK","No Cumple"),"")</f>
        <v/>
      </c>
      <c r="AD162" s="147" t="str">
        <f t="shared" ref="AD162:AD165" si="406">IF(T162&gt;0,IF(AA162&gt;$B$14,"OK","No Cumple"),"")</f>
        <v/>
      </c>
      <c r="AE162" s="148">
        <f t="shared" ref="AE162:AG165" si="407">+IF(AB162="OK",1,0)</f>
        <v>0</v>
      </c>
      <c r="AF162" s="148">
        <f t="shared" si="407"/>
        <v>0</v>
      </c>
      <c r="AG162" s="148">
        <f t="shared" si="407"/>
        <v>0</v>
      </c>
      <c r="AH162" s="148">
        <f t="shared" ref="AH162:AH165" si="408">SUM(AE162:AG162)</f>
        <v>0</v>
      </c>
      <c r="AI162" s="147">
        <f t="shared" ref="AI162:AI165" si="409">IF(AH162=3,2*$B$7+U162,0)</f>
        <v>0</v>
      </c>
      <c r="AJ162" s="149">
        <f>IF(AI162&gt;0,I162*VLOOKUP(T162,'$ alcantarillado'!$I$6:$K$22,3),0)</f>
        <v>0</v>
      </c>
      <c r="AK162" s="149">
        <f t="shared" si="367"/>
        <v>0</v>
      </c>
      <c r="AL162" s="149">
        <f t="shared" si="368"/>
        <v>0</v>
      </c>
      <c r="AM162" s="149">
        <f t="shared" si="382"/>
        <v>0</v>
      </c>
      <c r="AN162" s="175">
        <v>0</v>
      </c>
      <c r="AO162" s="150" t="str">
        <f t="shared" si="369"/>
        <v/>
      </c>
      <c r="AP162" s="226"/>
      <c r="AQ162" s="142"/>
      <c r="AR162" s="165"/>
    </row>
    <row r="163" spans="1:44" x14ac:dyDescent="0.25">
      <c r="A163" s="230"/>
      <c r="B163" s="230"/>
      <c r="C163" s="230"/>
      <c r="D163" s="230"/>
      <c r="E163" s="151">
        <v>3</v>
      </c>
      <c r="F163" s="128">
        <f t="shared" ref="F163:F165" si="410">+F162-$B$4</f>
        <v>46.629999999999995</v>
      </c>
      <c r="G163" s="151">
        <v>3</v>
      </c>
      <c r="H163" s="142">
        <f t="shared" ref="H163:I164" si="411">+H162</f>
        <v>47.32</v>
      </c>
      <c r="I163" s="142">
        <f t="shared" si="411"/>
        <v>80</v>
      </c>
      <c r="J163" s="143">
        <f t="shared" si="370"/>
        <v>-8.6250000000000597E-3</v>
      </c>
      <c r="K163" s="142">
        <f t="shared" ref="K163:K164" si="412">+K162</f>
        <v>948</v>
      </c>
      <c r="L163" s="128">
        <f t="shared" si="371"/>
        <v>13.275700000000001</v>
      </c>
      <c r="M163" s="144">
        <f t="shared" si="400"/>
        <v>1.32757E-2</v>
      </c>
      <c r="N163" s="144">
        <f t="shared" si="360"/>
        <v>0</v>
      </c>
      <c r="O163" s="144">
        <f t="shared" si="361"/>
        <v>0</v>
      </c>
      <c r="P163" s="145">
        <f t="shared" si="362"/>
        <v>0</v>
      </c>
      <c r="Q163" s="113" t="str">
        <f>IF(O163&gt;0,VLOOKUP(P163,'$ alcantarillado'!$I$5:$L$22,4,FALSE),"0")</f>
        <v>0</v>
      </c>
      <c r="R163" s="113" t="str">
        <f t="shared" si="363"/>
        <v/>
      </c>
      <c r="S163" s="146">
        <f t="shared" si="364"/>
        <v>0</v>
      </c>
      <c r="T163" s="145">
        <f>+IF(S163&gt;$B$13,VLOOKUP(P163,'$ alcantarillado'!$I$6:$N$22,5),P163)</f>
        <v>0</v>
      </c>
      <c r="U163" s="113" t="str">
        <f>IF(O163&gt;0,VLOOKUP(T163,'$ alcantarillado'!$I$5:$L$22,4),"0")</f>
        <v>0</v>
      </c>
      <c r="V163" s="113" t="str">
        <f t="shared" si="365"/>
        <v/>
      </c>
      <c r="W163" s="146">
        <f t="shared" si="366"/>
        <v>0</v>
      </c>
      <c r="X163" s="146" t="str">
        <f t="shared" si="401"/>
        <v/>
      </c>
      <c r="Y163" s="113" t="str">
        <f>IF(T163&gt;0,(VLOOKUP($W163,Relaciones!$A$4:$D$108,2)),"")</f>
        <v/>
      </c>
      <c r="Z163" s="146" t="str">
        <f t="shared" si="402"/>
        <v/>
      </c>
      <c r="AA163" s="146" t="str">
        <f t="shared" si="403"/>
        <v/>
      </c>
      <c r="AB163" s="147" t="str">
        <f t="shared" si="404"/>
        <v/>
      </c>
      <c r="AC163" s="147" t="str">
        <f t="shared" si="405"/>
        <v/>
      </c>
      <c r="AD163" s="147" t="str">
        <f t="shared" si="406"/>
        <v/>
      </c>
      <c r="AE163" s="148">
        <f t="shared" si="407"/>
        <v>0</v>
      </c>
      <c r="AF163" s="148">
        <f t="shared" si="407"/>
        <v>0</v>
      </c>
      <c r="AG163" s="148">
        <f t="shared" si="407"/>
        <v>0</v>
      </c>
      <c r="AH163" s="148">
        <f t="shared" si="408"/>
        <v>0</v>
      </c>
      <c r="AI163" s="147">
        <f t="shared" si="409"/>
        <v>0</v>
      </c>
      <c r="AJ163" s="149">
        <f>IF(AI163&gt;0,I163*VLOOKUP(T163,'$ alcantarillado'!$I$6:$K$22,3),0)</f>
        <v>0</v>
      </c>
      <c r="AK163" s="149">
        <f t="shared" si="367"/>
        <v>0</v>
      </c>
      <c r="AL163" s="149">
        <f t="shared" si="368"/>
        <v>0</v>
      </c>
      <c r="AM163" s="149">
        <f t="shared" si="382"/>
        <v>0</v>
      </c>
      <c r="AN163" s="175">
        <v>0</v>
      </c>
      <c r="AO163" s="150" t="str">
        <f t="shared" si="369"/>
        <v/>
      </c>
      <c r="AP163" s="227"/>
      <c r="AQ163" s="142"/>
      <c r="AR163" s="165"/>
    </row>
    <row r="164" spans="1:44" x14ac:dyDescent="0.25">
      <c r="A164" s="230"/>
      <c r="B164" s="230"/>
      <c r="C164" s="230"/>
      <c r="D164" s="230"/>
      <c r="E164" s="151">
        <v>4</v>
      </c>
      <c r="F164" s="128">
        <f t="shared" si="410"/>
        <v>46.129999999999995</v>
      </c>
      <c r="G164" s="151">
        <v>3</v>
      </c>
      <c r="H164" s="142">
        <f t="shared" si="411"/>
        <v>47.32</v>
      </c>
      <c r="I164" s="142">
        <f t="shared" si="411"/>
        <v>80</v>
      </c>
      <c r="J164" s="143">
        <f>+(F164-H164)/I164</f>
        <v>-1.487500000000006E-2</v>
      </c>
      <c r="K164" s="142">
        <f t="shared" si="412"/>
        <v>948</v>
      </c>
      <c r="L164" s="128">
        <f t="shared" si="371"/>
        <v>13.275700000000001</v>
      </c>
      <c r="M164" s="144">
        <f t="shared" si="400"/>
        <v>1.32757E-2</v>
      </c>
      <c r="N164" s="144">
        <f t="shared" si="360"/>
        <v>0</v>
      </c>
      <c r="O164" s="144">
        <f t="shared" si="361"/>
        <v>0</v>
      </c>
      <c r="P164" s="145">
        <f t="shared" si="362"/>
        <v>0</v>
      </c>
      <c r="Q164" s="113" t="str">
        <f>IF(O164&gt;0,VLOOKUP(P164,'$ alcantarillado'!$I$5:$L$22,4,FALSE),"0")</f>
        <v>0</v>
      </c>
      <c r="R164" s="113" t="str">
        <f t="shared" si="363"/>
        <v/>
      </c>
      <c r="S164" s="146">
        <f t="shared" si="364"/>
        <v>0</v>
      </c>
      <c r="T164" s="145">
        <f>+IF(S164&gt;$B$13,VLOOKUP(P164,'$ alcantarillado'!$I$6:$N$22,5),P164)</f>
        <v>0</v>
      </c>
      <c r="U164" s="113" t="str">
        <f>IF(O164&gt;0,VLOOKUP(T164,'$ alcantarillado'!$I$5:$L$22,4),"0")</f>
        <v>0</v>
      </c>
      <c r="V164" s="113" t="str">
        <f t="shared" si="365"/>
        <v/>
      </c>
      <c r="W164" s="146">
        <f t="shared" si="366"/>
        <v>0</v>
      </c>
      <c r="X164" s="146" t="str">
        <f t="shared" si="401"/>
        <v/>
      </c>
      <c r="Y164" s="113" t="str">
        <f>IF(T164&gt;0,(VLOOKUP($W164,Relaciones!$A$4:$D$108,2)),"")</f>
        <v/>
      </c>
      <c r="Z164" s="146" t="str">
        <f t="shared" si="402"/>
        <v/>
      </c>
      <c r="AA164" s="146" t="str">
        <f t="shared" si="403"/>
        <v/>
      </c>
      <c r="AB164" s="147" t="str">
        <f t="shared" si="404"/>
        <v/>
      </c>
      <c r="AC164" s="147" t="str">
        <f t="shared" si="405"/>
        <v/>
      </c>
      <c r="AD164" s="147" t="str">
        <f t="shared" si="406"/>
        <v/>
      </c>
      <c r="AE164" s="148">
        <f t="shared" si="407"/>
        <v>0</v>
      </c>
      <c r="AF164" s="148">
        <f t="shared" si="407"/>
        <v>0</v>
      </c>
      <c r="AG164" s="148">
        <f t="shared" si="407"/>
        <v>0</v>
      </c>
      <c r="AH164" s="148">
        <f t="shared" si="408"/>
        <v>0</v>
      </c>
      <c r="AI164" s="147">
        <f t="shared" si="409"/>
        <v>0</v>
      </c>
      <c r="AJ164" s="149">
        <f>IF(AI164&gt;0,I164*VLOOKUP(T164,'$ alcantarillado'!$I$6:$K$22,3),0)</f>
        <v>0</v>
      </c>
      <c r="AK164" s="149">
        <f t="shared" si="367"/>
        <v>0</v>
      </c>
      <c r="AL164" s="149">
        <f t="shared" si="368"/>
        <v>0</v>
      </c>
      <c r="AM164" s="149">
        <f t="shared" si="382"/>
        <v>0</v>
      </c>
      <c r="AN164" s="175">
        <v>0</v>
      </c>
      <c r="AO164" s="150" t="str">
        <f t="shared" si="369"/>
        <v/>
      </c>
      <c r="AP164" s="227"/>
      <c r="AQ164" s="142">
        <v>1</v>
      </c>
      <c r="AR164" s="165">
        <v>3</v>
      </c>
    </row>
    <row r="165" spans="1:44" ht="15.75" thickBot="1" x14ac:dyDescent="0.3">
      <c r="A165" s="230"/>
      <c r="B165" s="230"/>
      <c r="C165" s="230"/>
      <c r="D165" s="230"/>
      <c r="E165" s="152">
        <v>5</v>
      </c>
      <c r="F165" s="153">
        <f t="shared" si="410"/>
        <v>45.629999999999995</v>
      </c>
      <c r="G165" s="152">
        <v>3</v>
      </c>
      <c r="H165" s="154">
        <f>+H164</f>
        <v>47.32</v>
      </c>
      <c r="I165" s="154">
        <f>+I164</f>
        <v>80</v>
      </c>
      <c r="J165" s="155">
        <f t="shared" si="370"/>
        <v>-2.112500000000006E-2</v>
      </c>
      <c r="K165" s="154">
        <f>+K164</f>
        <v>948</v>
      </c>
      <c r="L165" s="153">
        <f t="shared" si="371"/>
        <v>13.275700000000001</v>
      </c>
      <c r="M165" s="156">
        <f t="shared" si="400"/>
        <v>1.32757E-2</v>
      </c>
      <c r="N165" s="156">
        <f t="shared" si="360"/>
        <v>0</v>
      </c>
      <c r="O165" s="156">
        <f t="shared" si="361"/>
        <v>0</v>
      </c>
      <c r="P165" s="157">
        <f t="shared" si="362"/>
        <v>0</v>
      </c>
      <c r="Q165" s="113" t="str">
        <f>IF(O165&gt;0,VLOOKUP(P165,'$ alcantarillado'!$I$5:$L$22,4,FALSE),"0")</f>
        <v>0</v>
      </c>
      <c r="R165" s="160" t="str">
        <f t="shared" si="363"/>
        <v/>
      </c>
      <c r="S165" s="146">
        <f t="shared" si="364"/>
        <v>0</v>
      </c>
      <c r="T165" s="145">
        <f>+IF(S165&gt;$B$13,VLOOKUP(P165,'$ alcantarillado'!$I$6:$N$22,5),P165)</f>
        <v>0</v>
      </c>
      <c r="U165" s="113" t="str">
        <f>IF(O165&gt;0,VLOOKUP(T165,'$ alcantarillado'!$I$5:$L$22,4),"0")</f>
        <v>0</v>
      </c>
      <c r="V165" s="113" t="str">
        <f t="shared" si="365"/>
        <v/>
      </c>
      <c r="W165" s="146">
        <f t="shared" si="366"/>
        <v>0</v>
      </c>
      <c r="X165" s="146" t="str">
        <f t="shared" si="401"/>
        <v/>
      </c>
      <c r="Y165" s="113" t="str">
        <f>IF(T165&gt;0,(VLOOKUP($W165,Relaciones!$A$4:$D$108,2)),"")</f>
        <v/>
      </c>
      <c r="Z165" s="146" t="str">
        <f t="shared" si="402"/>
        <v/>
      </c>
      <c r="AA165" s="146" t="str">
        <f t="shared" si="403"/>
        <v/>
      </c>
      <c r="AB165" s="147" t="str">
        <f t="shared" si="404"/>
        <v/>
      </c>
      <c r="AC165" s="147" t="str">
        <f t="shared" si="405"/>
        <v/>
      </c>
      <c r="AD165" s="147" t="str">
        <f t="shared" si="406"/>
        <v/>
      </c>
      <c r="AE165" s="148">
        <f t="shared" si="407"/>
        <v>0</v>
      </c>
      <c r="AF165" s="148">
        <f t="shared" si="407"/>
        <v>0</v>
      </c>
      <c r="AG165" s="148">
        <f t="shared" si="407"/>
        <v>0</v>
      </c>
      <c r="AH165" s="148">
        <f t="shared" si="408"/>
        <v>0</v>
      </c>
      <c r="AI165" s="147">
        <f t="shared" si="409"/>
        <v>0</v>
      </c>
      <c r="AJ165" s="158">
        <f>IF(AI165&gt;0,I165*VLOOKUP(T165,'$ alcantarillado'!$I$6:$K$22,3),0)</f>
        <v>0</v>
      </c>
      <c r="AK165" s="149">
        <f t="shared" si="367"/>
        <v>0</v>
      </c>
      <c r="AL165" s="149">
        <f t="shared" si="368"/>
        <v>0</v>
      </c>
      <c r="AM165" s="158">
        <f t="shared" si="382"/>
        <v>0</v>
      </c>
      <c r="AN165" s="175">
        <v>0</v>
      </c>
      <c r="AO165" s="159" t="str">
        <f t="shared" si="369"/>
        <v/>
      </c>
      <c r="AP165" s="228"/>
      <c r="AQ165" s="154"/>
      <c r="AR165" s="166"/>
    </row>
    <row r="166" spans="1:44" x14ac:dyDescent="0.25">
      <c r="A166" s="230"/>
      <c r="B166" s="230"/>
      <c r="C166" s="230"/>
      <c r="D166" s="230"/>
      <c r="E166" s="127">
        <v>1</v>
      </c>
      <c r="F166" s="132">
        <f>+$D$151-$B$5</f>
        <v>47.629999999999995</v>
      </c>
      <c r="G166" s="127">
        <v>4</v>
      </c>
      <c r="H166" s="132">
        <f>+H161-$B$15</f>
        <v>47.195</v>
      </c>
      <c r="I166" s="142">
        <f>+I161</f>
        <v>80</v>
      </c>
      <c r="J166" s="143">
        <f>+(F166-H166)/I166</f>
        <v>5.4374999999999398E-3</v>
      </c>
      <c r="K166" s="142">
        <f>+K161</f>
        <v>948</v>
      </c>
      <c r="L166" s="132">
        <f>IF(K166&lt;38,K166^0.3686*0.7401,IF(K166&lt;235,K166^0.4193*0.6215,IF(K166&lt;932,K166*0.0092+4.2493,K166*0.0069+6.7345)))</f>
        <v>13.275700000000001</v>
      </c>
      <c r="M166" s="133">
        <f>+L166/1000</f>
        <v>1.32757E-2</v>
      </c>
      <c r="N166" s="133">
        <f t="shared" si="360"/>
        <v>0.1447489644355632</v>
      </c>
      <c r="O166" s="133">
        <f t="shared" si="361"/>
        <v>5.6987781273843785</v>
      </c>
      <c r="P166" s="134">
        <f t="shared" si="362"/>
        <v>6</v>
      </c>
      <c r="Q166" s="135">
        <f>IF(O166&gt;0,VLOOKUP(P166,'$ alcantarillado'!$I$5:$L$22,4,FALSE),"0")</f>
        <v>0.14499999999999999</v>
      </c>
      <c r="R166" s="135">
        <f t="shared" si="363"/>
        <v>1.33371855971835E-2</v>
      </c>
      <c r="S166" s="136">
        <f t="shared" si="364"/>
        <v>0.99538991215684325</v>
      </c>
      <c r="T166" s="134">
        <f>+IF(S166&gt;$B$13,VLOOKUP(P166,'$ alcantarillado'!$I$6:$N$22,5),P166)</f>
        <v>8</v>
      </c>
      <c r="U166" s="135">
        <f>IF(O166&gt;0,VLOOKUP(T166,'$ alcantarillado'!$I$5:$L$22,4),"0")</f>
        <v>0.182</v>
      </c>
      <c r="V166" s="135">
        <f t="shared" si="365"/>
        <v>2.4449682478086533E-2</v>
      </c>
      <c r="W166" s="136">
        <f t="shared" si="366"/>
        <v>0.54298046659291321</v>
      </c>
      <c r="X166" s="136">
        <f>IF(T166&gt;0,4*V166/(PI()*(U166)^2),"")</f>
        <v>0.93981109127273821</v>
      </c>
      <c r="Y166" s="135">
        <f>IF(T166&gt;0,(VLOOKUP($W166,Relaciones!$A$4:$D$108,2)),"")</f>
        <v>0.87</v>
      </c>
      <c r="Z166" s="136">
        <f>IF(T166&gt;0,Y166*X166,"")</f>
        <v>0.81763564940728228</v>
      </c>
      <c r="AA166" s="136">
        <f>IF(T166&gt;0,250*U166*J166,"")</f>
        <v>0.24740624999999725</v>
      </c>
      <c r="AB166" s="137" t="str">
        <f>IF(T166&gt;0,IF(W166&lt;=$B$13,"OK","No Cumple"),"")</f>
        <v>OK</v>
      </c>
      <c r="AC166" s="137" t="str">
        <f>IF(T166&gt;0,IF(Z166&gt;=$B$12,"OK","No Cumple"),"")</f>
        <v>OK</v>
      </c>
      <c r="AD166" s="137" t="str">
        <f>IF(T166&gt;0,IF(AA166&gt;$B$14,"OK","No Cumple"),"")</f>
        <v>OK</v>
      </c>
      <c r="AE166" s="138">
        <f>+IF(AB166="OK",1,0)</f>
        <v>1</v>
      </c>
      <c r="AF166" s="138">
        <f>+IF(AC166="OK",1,0)</f>
        <v>1</v>
      </c>
      <c r="AG166" s="138">
        <f>+IF(AD166="OK",1,0)</f>
        <v>1</v>
      </c>
      <c r="AH166" s="138">
        <f>SUM(AE166:AG166)</f>
        <v>3</v>
      </c>
      <c r="AI166" s="137">
        <f>IF(AH166=3,2*$B$7+U166,0)</f>
        <v>0.68199999999999994</v>
      </c>
      <c r="AJ166" s="139">
        <f>IF(AI166&gt;0,I166*VLOOKUP(T166,'$ alcantarillado'!$I$6:$K$22,3),0)</f>
        <v>2654586.666666667</v>
      </c>
      <c r="AK166" s="139">
        <f t="shared" si="367"/>
        <v>2342751.8400000036</v>
      </c>
      <c r="AL166" s="139">
        <f t="shared" si="368"/>
        <v>964609.74200000195</v>
      </c>
      <c r="AM166" s="139">
        <f>IF(AJ166&gt;0,AJ166+AK166+AL166,0)</f>
        <v>5961948.248666672</v>
      </c>
      <c r="AN166" s="174">
        <v>0</v>
      </c>
      <c r="AO166" s="140">
        <f t="shared" si="369"/>
        <v>5961948.248666672</v>
      </c>
      <c r="AP166" s="217">
        <f t="shared" ref="AP166" si="413">+MIN(AO166:AO170)</f>
        <v>5961948.248666672</v>
      </c>
      <c r="AQ166" s="129"/>
      <c r="AR166" s="163"/>
    </row>
    <row r="167" spans="1:44" x14ac:dyDescent="0.25">
      <c r="A167" s="230"/>
      <c r="B167" s="230"/>
      <c r="C167" s="230"/>
      <c r="D167" s="230"/>
      <c r="E167" s="141">
        <v>2</v>
      </c>
      <c r="F167" s="128">
        <f>+F166-$B$4</f>
        <v>47.129999999999995</v>
      </c>
      <c r="G167" s="141">
        <v>4</v>
      </c>
      <c r="H167" s="128">
        <f>+H166</f>
        <v>47.195</v>
      </c>
      <c r="I167" s="142">
        <f>+I166</f>
        <v>80</v>
      </c>
      <c r="J167" s="143">
        <f t="shared" si="370"/>
        <v>-8.1250000000006035E-4</v>
      </c>
      <c r="K167" s="142">
        <f>+K166</f>
        <v>948</v>
      </c>
      <c r="L167" s="128">
        <f t="shared" si="371"/>
        <v>13.275700000000001</v>
      </c>
      <c r="M167" s="144">
        <f t="shared" ref="M167:M170" si="414">+L167/1000</f>
        <v>1.32757E-2</v>
      </c>
      <c r="N167" s="144">
        <f t="shared" si="360"/>
        <v>0</v>
      </c>
      <c r="O167" s="144">
        <f t="shared" si="361"/>
        <v>0</v>
      </c>
      <c r="P167" s="145">
        <f t="shared" si="362"/>
        <v>0</v>
      </c>
      <c r="Q167" s="113" t="str">
        <f>IF(O167&gt;0,VLOOKUP(P167,'$ alcantarillado'!$I$5:$L$22,4,FALSE),"0")</f>
        <v>0</v>
      </c>
      <c r="R167" s="113" t="str">
        <f t="shared" si="363"/>
        <v/>
      </c>
      <c r="S167" s="146">
        <f t="shared" si="364"/>
        <v>0</v>
      </c>
      <c r="T167" s="145">
        <f>+IF(S167&gt;$B$13,VLOOKUP(P167,'$ alcantarillado'!$I$6:$N$22,5),P167)</f>
        <v>0</v>
      </c>
      <c r="U167" s="113" t="str">
        <f>IF(O167&gt;0,VLOOKUP(T167,'$ alcantarillado'!$I$5:$L$22,4),"0")</f>
        <v>0</v>
      </c>
      <c r="V167" s="113" t="str">
        <f t="shared" si="365"/>
        <v/>
      </c>
      <c r="W167" s="146">
        <f t="shared" si="366"/>
        <v>0</v>
      </c>
      <c r="X167" s="146" t="str">
        <f t="shared" ref="X167:X170" si="415">IF(T167&gt;0,4*V167/(PI()*(U167)^2),"")</f>
        <v/>
      </c>
      <c r="Y167" s="113" t="str">
        <f>IF(T167&gt;0,(VLOOKUP($W167,Relaciones!$A$4:$D$108,2)),"")</f>
        <v/>
      </c>
      <c r="Z167" s="146" t="str">
        <f t="shared" ref="Z167:Z170" si="416">IF(T167&gt;0,Y167*X167,"")</f>
        <v/>
      </c>
      <c r="AA167" s="146" t="str">
        <f t="shared" ref="AA167:AA170" si="417">IF(T167&gt;0,250*U167*J167,"")</f>
        <v/>
      </c>
      <c r="AB167" s="147" t="str">
        <f t="shared" ref="AB167:AB170" si="418">IF(T167&gt;0,IF(W167&lt;=$B$13,"OK","No Cumple"),"")</f>
        <v/>
      </c>
      <c r="AC167" s="147" t="str">
        <f t="shared" ref="AC167:AC170" si="419">IF(T167&gt;0,IF(Z167&gt;=$B$12,"OK","No Cumple"),"")</f>
        <v/>
      </c>
      <c r="AD167" s="147" t="str">
        <f t="shared" ref="AD167:AD170" si="420">IF(T167&gt;0,IF(AA167&gt;$B$14,"OK","No Cumple"),"")</f>
        <v/>
      </c>
      <c r="AE167" s="148">
        <f t="shared" ref="AE167:AG170" si="421">+IF(AB167="OK",1,0)</f>
        <v>0</v>
      </c>
      <c r="AF167" s="148">
        <f t="shared" si="421"/>
        <v>0</v>
      </c>
      <c r="AG167" s="148">
        <f t="shared" si="421"/>
        <v>0</v>
      </c>
      <c r="AH167" s="148">
        <f t="shared" ref="AH167:AH170" si="422">SUM(AE167:AG167)</f>
        <v>0</v>
      </c>
      <c r="AI167" s="147">
        <f t="shared" ref="AI167:AI170" si="423">IF(AH167=3,2*$B$7+U167,0)</f>
        <v>0</v>
      </c>
      <c r="AJ167" s="149">
        <f>IF(AI167&gt;0,I167*VLOOKUP(T167,'$ alcantarillado'!$I$6:$K$22,3),0)</f>
        <v>0</v>
      </c>
      <c r="AK167" s="149">
        <f t="shared" si="367"/>
        <v>0</v>
      </c>
      <c r="AL167" s="149">
        <f t="shared" si="368"/>
        <v>0</v>
      </c>
      <c r="AM167" s="149">
        <f t="shared" si="382"/>
        <v>0</v>
      </c>
      <c r="AN167" s="175">
        <v>0</v>
      </c>
      <c r="AO167" s="150" t="str">
        <f t="shared" si="369"/>
        <v/>
      </c>
      <c r="AP167" s="218"/>
      <c r="AQ167" s="142"/>
      <c r="AR167" s="165"/>
    </row>
    <row r="168" spans="1:44" x14ac:dyDescent="0.25">
      <c r="A168" s="230"/>
      <c r="B168" s="230"/>
      <c r="C168" s="230"/>
      <c r="D168" s="230"/>
      <c r="E168" s="151">
        <v>3</v>
      </c>
      <c r="F168" s="128">
        <f t="shared" ref="F168:F170" si="424">+F167-$B$4</f>
        <v>46.629999999999995</v>
      </c>
      <c r="G168" s="151">
        <v>4</v>
      </c>
      <c r="H168" s="128">
        <f t="shared" ref="H168:I169" si="425">+H167</f>
        <v>47.195</v>
      </c>
      <c r="I168" s="142">
        <f t="shared" si="425"/>
        <v>80</v>
      </c>
      <c r="J168" s="143">
        <f t="shared" si="370"/>
        <v>-7.06250000000006E-3</v>
      </c>
      <c r="K168" s="142">
        <f t="shared" ref="K168:K169" si="426">+K167</f>
        <v>948</v>
      </c>
      <c r="L168" s="128">
        <f t="shared" si="371"/>
        <v>13.275700000000001</v>
      </c>
      <c r="M168" s="144">
        <f t="shared" si="414"/>
        <v>1.32757E-2</v>
      </c>
      <c r="N168" s="144">
        <f t="shared" si="360"/>
        <v>0</v>
      </c>
      <c r="O168" s="144">
        <f t="shared" si="361"/>
        <v>0</v>
      </c>
      <c r="P168" s="145">
        <f t="shared" si="362"/>
        <v>0</v>
      </c>
      <c r="Q168" s="113" t="str">
        <f>IF(O168&gt;0,VLOOKUP(P168,'$ alcantarillado'!$I$5:$L$22,4,FALSE),"0")</f>
        <v>0</v>
      </c>
      <c r="R168" s="113" t="str">
        <f t="shared" si="363"/>
        <v/>
      </c>
      <c r="S168" s="146">
        <f t="shared" si="364"/>
        <v>0</v>
      </c>
      <c r="T168" s="145">
        <f>+IF(S168&gt;$B$13,VLOOKUP(P168,'$ alcantarillado'!$I$6:$N$22,5),P168)</f>
        <v>0</v>
      </c>
      <c r="U168" s="113" t="str">
        <f>IF(O168&gt;0,VLOOKUP(T168,'$ alcantarillado'!$I$5:$L$22,4),"0")</f>
        <v>0</v>
      </c>
      <c r="V168" s="113" t="str">
        <f t="shared" si="365"/>
        <v/>
      </c>
      <c r="W168" s="146">
        <f t="shared" si="366"/>
        <v>0</v>
      </c>
      <c r="X168" s="146" t="str">
        <f t="shared" si="415"/>
        <v/>
      </c>
      <c r="Y168" s="113" t="str">
        <f>IF(T168&gt;0,(VLOOKUP($W168,Relaciones!$A$4:$D$108,2)),"")</f>
        <v/>
      </c>
      <c r="Z168" s="146" t="str">
        <f t="shared" si="416"/>
        <v/>
      </c>
      <c r="AA168" s="146" t="str">
        <f t="shared" si="417"/>
        <v/>
      </c>
      <c r="AB168" s="147" t="str">
        <f t="shared" si="418"/>
        <v/>
      </c>
      <c r="AC168" s="147" t="str">
        <f t="shared" si="419"/>
        <v/>
      </c>
      <c r="AD168" s="147" t="str">
        <f t="shared" si="420"/>
        <v/>
      </c>
      <c r="AE168" s="148">
        <f t="shared" si="421"/>
        <v>0</v>
      </c>
      <c r="AF168" s="148">
        <f t="shared" si="421"/>
        <v>0</v>
      </c>
      <c r="AG168" s="148">
        <f t="shared" si="421"/>
        <v>0</v>
      </c>
      <c r="AH168" s="148">
        <f t="shared" si="422"/>
        <v>0</v>
      </c>
      <c r="AI168" s="147">
        <f t="shared" si="423"/>
        <v>0</v>
      </c>
      <c r="AJ168" s="149">
        <f>IF(AI168&gt;0,I168*VLOOKUP(T168,'$ alcantarillado'!$I$6:$K$22,3),0)</f>
        <v>0</v>
      </c>
      <c r="AK168" s="149">
        <f t="shared" si="367"/>
        <v>0</v>
      </c>
      <c r="AL168" s="149">
        <f t="shared" si="368"/>
        <v>0</v>
      </c>
      <c r="AM168" s="149">
        <f t="shared" si="382"/>
        <v>0</v>
      </c>
      <c r="AN168" s="175">
        <v>0</v>
      </c>
      <c r="AO168" s="150" t="str">
        <f t="shared" si="369"/>
        <v/>
      </c>
      <c r="AP168" s="219"/>
      <c r="AQ168" s="142">
        <v>1</v>
      </c>
      <c r="AR168" s="165">
        <v>4</v>
      </c>
    </row>
    <row r="169" spans="1:44" x14ac:dyDescent="0.25">
      <c r="A169" s="230"/>
      <c r="B169" s="230"/>
      <c r="C169" s="230"/>
      <c r="D169" s="230"/>
      <c r="E169" s="151">
        <v>4</v>
      </c>
      <c r="F169" s="128">
        <f t="shared" si="424"/>
        <v>46.129999999999995</v>
      </c>
      <c r="G169" s="151">
        <v>4</v>
      </c>
      <c r="H169" s="128">
        <f t="shared" si="425"/>
        <v>47.195</v>
      </c>
      <c r="I169" s="142">
        <f t="shared" si="425"/>
        <v>80</v>
      </c>
      <c r="J169" s="143">
        <f>+(F169-H169)/I169</f>
        <v>-1.331250000000006E-2</v>
      </c>
      <c r="K169" s="142">
        <f t="shared" si="426"/>
        <v>948</v>
      </c>
      <c r="L169" s="128">
        <f t="shared" si="371"/>
        <v>13.275700000000001</v>
      </c>
      <c r="M169" s="144">
        <f t="shared" si="414"/>
        <v>1.32757E-2</v>
      </c>
      <c r="N169" s="144">
        <f t="shared" si="360"/>
        <v>0</v>
      </c>
      <c r="O169" s="144">
        <f t="shared" si="361"/>
        <v>0</v>
      </c>
      <c r="P169" s="145">
        <f t="shared" si="362"/>
        <v>0</v>
      </c>
      <c r="Q169" s="113" t="str">
        <f>IF(O169&gt;0,VLOOKUP(P169,'$ alcantarillado'!$I$5:$L$22,4,FALSE),"0")</f>
        <v>0</v>
      </c>
      <c r="R169" s="113" t="str">
        <f t="shared" si="363"/>
        <v/>
      </c>
      <c r="S169" s="146">
        <f t="shared" si="364"/>
        <v>0</v>
      </c>
      <c r="T169" s="145">
        <f>+IF(S169&gt;$B$13,VLOOKUP(P169,'$ alcantarillado'!$I$6:$N$22,5),P169)</f>
        <v>0</v>
      </c>
      <c r="U169" s="113" t="str">
        <f>IF(O169&gt;0,VLOOKUP(T169,'$ alcantarillado'!$I$5:$L$22,4),"0")</f>
        <v>0</v>
      </c>
      <c r="V169" s="113" t="str">
        <f t="shared" si="365"/>
        <v/>
      </c>
      <c r="W169" s="146">
        <f t="shared" si="366"/>
        <v>0</v>
      </c>
      <c r="X169" s="146" t="str">
        <f t="shared" si="415"/>
        <v/>
      </c>
      <c r="Y169" s="113" t="str">
        <f>IF(T169&gt;0,(VLOOKUP($W169,Relaciones!$A$4:$D$108,2)),"")</f>
        <v/>
      </c>
      <c r="Z169" s="146" t="str">
        <f t="shared" si="416"/>
        <v/>
      </c>
      <c r="AA169" s="146" t="str">
        <f t="shared" si="417"/>
        <v/>
      </c>
      <c r="AB169" s="147" t="str">
        <f t="shared" si="418"/>
        <v/>
      </c>
      <c r="AC169" s="147" t="str">
        <f t="shared" si="419"/>
        <v/>
      </c>
      <c r="AD169" s="147" t="str">
        <f t="shared" si="420"/>
        <v/>
      </c>
      <c r="AE169" s="148">
        <f t="shared" si="421"/>
        <v>0</v>
      </c>
      <c r="AF169" s="148">
        <f t="shared" si="421"/>
        <v>0</v>
      </c>
      <c r="AG169" s="148">
        <f t="shared" si="421"/>
        <v>0</v>
      </c>
      <c r="AH169" s="148">
        <f t="shared" si="422"/>
        <v>0</v>
      </c>
      <c r="AI169" s="147">
        <f t="shared" si="423"/>
        <v>0</v>
      </c>
      <c r="AJ169" s="149">
        <f>IF(AI169&gt;0,I169*VLOOKUP(T169,'$ alcantarillado'!$I$6:$K$22,3),0)</f>
        <v>0</v>
      </c>
      <c r="AK169" s="149">
        <f t="shared" si="367"/>
        <v>0</v>
      </c>
      <c r="AL169" s="149">
        <f t="shared" si="368"/>
        <v>0</v>
      </c>
      <c r="AM169" s="149">
        <f t="shared" si="382"/>
        <v>0</v>
      </c>
      <c r="AN169" s="175">
        <v>0</v>
      </c>
      <c r="AO169" s="150" t="str">
        <f t="shared" si="369"/>
        <v/>
      </c>
      <c r="AP169" s="219"/>
      <c r="AQ169" s="142"/>
      <c r="AR169" s="165"/>
    </row>
    <row r="170" spans="1:44" ht="15.75" thickBot="1" x14ac:dyDescent="0.3">
      <c r="A170" s="230"/>
      <c r="B170" s="230"/>
      <c r="C170" s="230"/>
      <c r="D170" s="230"/>
      <c r="E170" s="152">
        <v>5</v>
      </c>
      <c r="F170" s="153">
        <f t="shared" si="424"/>
        <v>45.629999999999995</v>
      </c>
      <c r="G170" s="152">
        <v>4</v>
      </c>
      <c r="H170" s="153">
        <f>+H169</f>
        <v>47.195</v>
      </c>
      <c r="I170" s="154">
        <f>+I169</f>
        <v>80</v>
      </c>
      <c r="J170" s="155">
        <f t="shared" si="370"/>
        <v>-1.9562500000000059E-2</v>
      </c>
      <c r="K170" s="154">
        <f>+K169</f>
        <v>948</v>
      </c>
      <c r="L170" s="153">
        <f t="shared" si="371"/>
        <v>13.275700000000001</v>
      </c>
      <c r="M170" s="156">
        <f t="shared" si="414"/>
        <v>1.32757E-2</v>
      </c>
      <c r="N170" s="156">
        <f t="shared" si="360"/>
        <v>0</v>
      </c>
      <c r="O170" s="156">
        <f t="shared" si="361"/>
        <v>0</v>
      </c>
      <c r="P170" s="157">
        <f t="shared" si="362"/>
        <v>0</v>
      </c>
      <c r="Q170" s="113" t="str">
        <f>IF(O170&gt;0,VLOOKUP(P170,'$ alcantarillado'!$I$5:$L$22,4,FALSE),"0")</f>
        <v>0</v>
      </c>
      <c r="R170" s="160" t="str">
        <f t="shared" si="363"/>
        <v/>
      </c>
      <c r="S170" s="146">
        <f t="shared" si="364"/>
        <v>0</v>
      </c>
      <c r="T170" s="145">
        <f>+IF(S170&gt;$B$13,VLOOKUP(P170,'$ alcantarillado'!$I$6:$N$22,5),P170)</f>
        <v>0</v>
      </c>
      <c r="U170" s="113" t="str">
        <f>IF(O170&gt;0,VLOOKUP(T170,'$ alcantarillado'!$I$5:$L$22,4),"0")</f>
        <v>0</v>
      </c>
      <c r="V170" s="113" t="str">
        <f t="shared" si="365"/>
        <v/>
      </c>
      <c r="W170" s="146">
        <f t="shared" si="366"/>
        <v>0</v>
      </c>
      <c r="X170" s="146" t="str">
        <f t="shared" si="415"/>
        <v/>
      </c>
      <c r="Y170" s="113" t="str">
        <f>IF(T170&gt;0,(VLOOKUP($W170,Relaciones!$A$4:$D$108,2)),"")</f>
        <v/>
      </c>
      <c r="Z170" s="146" t="str">
        <f t="shared" si="416"/>
        <v/>
      </c>
      <c r="AA170" s="146" t="str">
        <f t="shared" si="417"/>
        <v/>
      </c>
      <c r="AB170" s="147" t="str">
        <f t="shared" si="418"/>
        <v/>
      </c>
      <c r="AC170" s="147" t="str">
        <f t="shared" si="419"/>
        <v/>
      </c>
      <c r="AD170" s="147" t="str">
        <f t="shared" si="420"/>
        <v/>
      </c>
      <c r="AE170" s="148">
        <f t="shared" si="421"/>
        <v>0</v>
      </c>
      <c r="AF170" s="148">
        <f t="shared" si="421"/>
        <v>0</v>
      </c>
      <c r="AG170" s="148">
        <f t="shared" si="421"/>
        <v>0</v>
      </c>
      <c r="AH170" s="148">
        <f t="shared" si="422"/>
        <v>0</v>
      </c>
      <c r="AI170" s="147">
        <f t="shared" si="423"/>
        <v>0</v>
      </c>
      <c r="AJ170" s="158">
        <f>IF(AI170&gt;0,I170*VLOOKUP(T170,'$ alcantarillado'!$I$6:$K$22,3),0)</f>
        <v>0</v>
      </c>
      <c r="AK170" s="149">
        <f t="shared" si="367"/>
        <v>0</v>
      </c>
      <c r="AL170" s="149">
        <f t="shared" si="368"/>
        <v>0</v>
      </c>
      <c r="AM170" s="158">
        <f t="shared" si="382"/>
        <v>0</v>
      </c>
      <c r="AN170" s="175">
        <v>0</v>
      </c>
      <c r="AO170" s="159" t="str">
        <f t="shared" si="369"/>
        <v/>
      </c>
      <c r="AP170" s="220"/>
      <c r="AQ170" s="154"/>
      <c r="AR170" s="166"/>
    </row>
    <row r="171" spans="1:44" x14ac:dyDescent="0.25">
      <c r="A171" s="230"/>
      <c r="B171" s="230"/>
      <c r="C171" s="230"/>
      <c r="D171" s="230"/>
      <c r="E171" s="127">
        <v>1</v>
      </c>
      <c r="F171" s="132">
        <f>+$D$151-$B$5</f>
        <v>47.629999999999995</v>
      </c>
      <c r="G171" s="127">
        <v>5</v>
      </c>
      <c r="H171" s="132">
        <f>+H161-2*$B$15</f>
        <v>47.07</v>
      </c>
      <c r="I171" s="142">
        <f>+I166</f>
        <v>80</v>
      </c>
      <c r="J171" s="143">
        <f>+(F171-H171)/I171</f>
        <v>6.9999999999999394E-3</v>
      </c>
      <c r="K171" s="142">
        <f>+K166</f>
        <v>948</v>
      </c>
      <c r="L171" s="132">
        <f>IF(K171&lt;38,K171^0.3686*0.7401,IF(K171&lt;235,K171^0.4193*0.6215,IF(K171&lt;932,K171*0.0092+4.2493,K171*0.0069+6.7345)))</f>
        <v>13.275700000000001</v>
      </c>
      <c r="M171" s="133">
        <f>+L171/1000</f>
        <v>1.32757E-2</v>
      </c>
      <c r="N171" s="133">
        <f t="shared" si="360"/>
        <v>0.13805334882615183</v>
      </c>
      <c r="O171" s="133">
        <f t="shared" si="361"/>
        <v>5.435171213628025</v>
      </c>
      <c r="P171" s="134">
        <f t="shared" si="362"/>
        <v>6</v>
      </c>
      <c r="Q171" s="135">
        <f>IF(O171&gt;0,VLOOKUP(P171,'$ alcantarillado'!$I$5:$L$22,4,FALSE),"0")</f>
        <v>0.14499999999999999</v>
      </c>
      <c r="R171" s="135">
        <f t="shared" si="363"/>
        <v>1.51326009498776E-2</v>
      </c>
      <c r="S171" s="136">
        <f t="shared" si="364"/>
        <v>0.87729135552916171</v>
      </c>
      <c r="T171" s="134">
        <f>+IF(S171&gt;$B$13,VLOOKUP(P171,'$ alcantarillado'!$I$6:$N$22,5),P171)</f>
        <v>8</v>
      </c>
      <c r="U171" s="135">
        <f>IF(O171&gt;0,VLOOKUP(T171,'$ alcantarillado'!$I$5:$L$22,4),"0")</f>
        <v>0.182</v>
      </c>
      <c r="V171" s="135">
        <f t="shared" si="365"/>
        <v>2.7741031688891745E-2</v>
      </c>
      <c r="W171" s="136">
        <f t="shared" si="366"/>
        <v>0.47855826520381167</v>
      </c>
      <c r="X171" s="136">
        <f>IF(T171&gt;0,4*V171/(PI()*(U171)^2),"")</f>
        <v>1.0663258832884992</v>
      </c>
      <c r="Y171" s="135">
        <f>IF(T171&gt;0,(VLOOKUP($W171,Relaciones!$A$4:$D$108,2)),"")</f>
        <v>0.83399999999999996</v>
      </c>
      <c r="Z171" s="136">
        <f>IF(T171&gt;0,Y171*X171,"")</f>
        <v>0.88931578666260824</v>
      </c>
      <c r="AA171" s="136">
        <f>IF(T171&gt;0,250*U171*J171,"")</f>
        <v>0.31849999999999723</v>
      </c>
      <c r="AB171" s="137" t="str">
        <f>IF(T171&gt;0,IF(W171&lt;=$B$13,"OK","No Cumple"),"")</f>
        <v>OK</v>
      </c>
      <c r="AC171" s="137" t="str">
        <f>IF(T171&gt;0,IF(Z171&gt;=$B$12,"OK","No Cumple"),"")</f>
        <v>OK</v>
      </c>
      <c r="AD171" s="137" t="str">
        <f>IF(T171&gt;0,IF(AA171&gt;$B$14,"OK","No Cumple"),"")</f>
        <v>OK</v>
      </c>
      <c r="AE171" s="138">
        <f>+IF(AB171="OK",1,0)</f>
        <v>1</v>
      </c>
      <c r="AF171" s="138">
        <f>+IF(AC171="OK",1,0)</f>
        <v>1</v>
      </c>
      <c r="AG171" s="138">
        <f>+IF(AD171="OK",1,0)</f>
        <v>1</v>
      </c>
      <c r="AH171" s="138">
        <f>SUM(AE171:AG171)</f>
        <v>3</v>
      </c>
      <c r="AI171" s="137">
        <f>IF(AH171=3,2*$B$7+U171,0)</f>
        <v>0.68199999999999994</v>
      </c>
      <c r="AJ171" s="139">
        <f>IF(AI171&gt;0,I171*VLOOKUP(T171,'$ alcantarillado'!$I$6:$K$22,3),0)</f>
        <v>2654586.666666667</v>
      </c>
      <c r="AK171" s="139">
        <f t="shared" si="367"/>
        <v>2404131.8400000036</v>
      </c>
      <c r="AL171" s="139">
        <f t="shared" si="368"/>
        <v>964609.74200000195</v>
      </c>
      <c r="AM171" s="139">
        <f>IF(AJ171&gt;0,AJ171+AK171+AL171,0)</f>
        <v>6023328.248666672</v>
      </c>
      <c r="AN171" s="174">
        <v>0</v>
      </c>
      <c r="AO171" s="140">
        <f t="shared" si="369"/>
        <v>6023328.248666672</v>
      </c>
      <c r="AP171" s="217">
        <f t="shared" ref="AP171" si="427">+MIN(AO171:AO175)</f>
        <v>6023328.248666672</v>
      </c>
      <c r="AQ171" s="142"/>
      <c r="AR171" s="165"/>
    </row>
    <row r="172" spans="1:44" x14ac:dyDescent="0.25">
      <c r="A172" s="230"/>
      <c r="B172" s="230"/>
      <c r="C172" s="230"/>
      <c r="D172" s="230"/>
      <c r="E172" s="141">
        <v>2</v>
      </c>
      <c r="F172" s="128">
        <f>+F171-$B$4</f>
        <v>47.129999999999995</v>
      </c>
      <c r="G172" s="141">
        <v>5</v>
      </c>
      <c r="H172" s="128">
        <f>+H171</f>
        <v>47.07</v>
      </c>
      <c r="I172" s="142">
        <f>+I171</f>
        <v>80</v>
      </c>
      <c r="J172" s="143">
        <f t="shared" si="370"/>
        <v>7.4999999999993963E-4</v>
      </c>
      <c r="K172" s="142">
        <f>+K171</f>
        <v>948</v>
      </c>
      <c r="L172" s="128">
        <f t="shared" si="371"/>
        <v>13.275700000000001</v>
      </c>
      <c r="M172" s="144">
        <f t="shared" ref="M172:M175" si="428">+L172/1000</f>
        <v>1.32757E-2</v>
      </c>
      <c r="N172" s="144">
        <f t="shared" si="360"/>
        <v>0.20985960041682264</v>
      </c>
      <c r="O172" s="144">
        <f t="shared" si="361"/>
        <v>8.2621889927882926</v>
      </c>
      <c r="P172" s="145">
        <f t="shared" si="362"/>
        <v>10</v>
      </c>
      <c r="Q172" s="113">
        <f>IF(O172&gt;0,VLOOKUP(P172,'$ alcantarillado'!$I$5:$L$22,4,FALSE),"0")</f>
        <v>0.22700000000000001</v>
      </c>
      <c r="R172" s="113">
        <f t="shared" si="363"/>
        <v>1.636751715152987E-2</v>
      </c>
      <c r="S172" s="146">
        <f t="shared" si="364"/>
        <v>0.8111004178027772</v>
      </c>
      <c r="T172" s="145">
        <f>+IF(S172&gt;$B$13,VLOOKUP(P172,'$ alcantarillado'!$I$6:$N$22,5),P172)</f>
        <v>10</v>
      </c>
      <c r="U172" s="113">
        <f>IF(O172&gt;0,VLOOKUP(T172,'$ alcantarillado'!$I$5:$L$22,4),"0")</f>
        <v>0.22700000000000001</v>
      </c>
      <c r="V172" s="113">
        <f t="shared" si="365"/>
        <v>1.636751715152987E-2</v>
      </c>
      <c r="W172" s="146">
        <f t="shared" si="366"/>
        <v>0.8111004178027772</v>
      </c>
      <c r="X172" s="146">
        <f t="shared" ref="X172:X175" si="429">IF(T172&gt;0,4*V172/(PI()*(U172)^2),"")</f>
        <v>0.40442799368237031</v>
      </c>
      <c r="Y172" s="113">
        <f>IF(T172&gt;0,(VLOOKUP($W172,Relaciones!$A$4:$D$108,2)),"")</f>
        <v>0.98699999999999999</v>
      </c>
      <c r="Z172" s="146">
        <f t="shared" ref="Z172:Z175" si="430">IF(T172&gt;0,Y172*X172,"")</f>
        <v>0.39917042976449951</v>
      </c>
      <c r="AA172" s="146">
        <f t="shared" ref="AA172:AA175" si="431">IF(T172&gt;0,250*U172*J172,"")</f>
        <v>4.2562499999996575E-2</v>
      </c>
      <c r="AB172" s="147" t="str">
        <f t="shared" ref="AB172:AB175" si="432">IF(T172&gt;0,IF(W172&lt;=$B$13,"OK","No Cumple"),"")</f>
        <v>OK</v>
      </c>
      <c r="AC172" s="147" t="str">
        <f t="shared" ref="AC172:AC175" si="433">IF(T172&gt;0,IF(Z172&gt;=$B$12,"OK","No Cumple"),"")</f>
        <v>No Cumple</v>
      </c>
      <c r="AD172" s="147" t="str">
        <f t="shared" ref="AD172:AD175" si="434">IF(T172&gt;0,IF(AA172&gt;$B$14,"OK","No Cumple"),"")</f>
        <v>No Cumple</v>
      </c>
      <c r="AE172" s="148">
        <f t="shared" ref="AE172:AG175" si="435">+IF(AB172="OK",1,0)</f>
        <v>1</v>
      </c>
      <c r="AF172" s="148">
        <f t="shared" si="435"/>
        <v>0</v>
      </c>
      <c r="AG172" s="148">
        <f t="shared" si="435"/>
        <v>0</v>
      </c>
      <c r="AH172" s="148">
        <f t="shared" ref="AH172:AH175" si="436">SUM(AE172:AG172)</f>
        <v>1</v>
      </c>
      <c r="AI172" s="147">
        <f t="shared" ref="AI172:AI175" si="437">IF(AH172=3,2*$B$7+U172,0)</f>
        <v>0</v>
      </c>
      <c r="AJ172" s="149">
        <f>IF(AI172&gt;0,I172*VLOOKUP(T172,'$ alcantarillado'!$I$6:$K$22,3),0)</f>
        <v>0</v>
      </c>
      <c r="AK172" s="149">
        <f t="shared" si="367"/>
        <v>0</v>
      </c>
      <c r="AL172" s="149">
        <f t="shared" si="368"/>
        <v>0</v>
      </c>
      <c r="AM172" s="149">
        <f t="shared" si="382"/>
        <v>0</v>
      </c>
      <c r="AN172" s="175">
        <v>0</v>
      </c>
      <c r="AO172" s="150" t="str">
        <f t="shared" si="369"/>
        <v/>
      </c>
      <c r="AP172" s="218"/>
      <c r="AQ172" s="142"/>
      <c r="AR172" s="165"/>
    </row>
    <row r="173" spans="1:44" x14ac:dyDescent="0.25">
      <c r="A173" s="230"/>
      <c r="B173" s="230"/>
      <c r="C173" s="230"/>
      <c r="D173" s="230"/>
      <c r="E173" s="151">
        <v>3</v>
      </c>
      <c r="F173" s="128">
        <f t="shared" ref="F173:F175" si="438">+F172-$B$4</f>
        <v>46.629999999999995</v>
      </c>
      <c r="G173" s="151">
        <v>5</v>
      </c>
      <c r="H173" s="128">
        <f t="shared" ref="H173:I174" si="439">+H172</f>
        <v>47.07</v>
      </c>
      <c r="I173" s="142">
        <f t="shared" si="439"/>
        <v>80</v>
      </c>
      <c r="J173" s="143">
        <f t="shared" si="370"/>
        <v>-5.5000000000000604E-3</v>
      </c>
      <c r="K173" s="142">
        <f t="shared" ref="K173:K174" si="440">+K172</f>
        <v>948</v>
      </c>
      <c r="L173" s="128">
        <f t="shared" si="371"/>
        <v>13.275700000000001</v>
      </c>
      <c r="M173" s="144">
        <f t="shared" si="428"/>
        <v>1.32757E-2</v>
      </c>
      <c r="N173" s="144">
        <f t="shared" si="360"/>
        <v>0</v>
      </c>
      <c r="O173" s="144">
        <f t="shared" si="361"/>
        <v>0</v>
      </c>
      <c r="P173" s="145">
        <f t="shared" si="362"/>
        <v>0</v>
      </c>
      <c r="Q173" s="113" t="str">
        <f>IF(O173&gt;0,VLOOKUP(P173,'$ alcantarillado'!$I$5:$L$22,4,FALSE),"0")</f>
        <v>0</v>
      </c>
      <c r="R173" s="113" t="str">
        <f t="shared" si="363"/>
        <v/>
      </c>
      <c r="S173" s="146">
        <f t="shared" si="364"/>
        <v>0</v>
      </c>
      <c r="T173" s="145">
        <f>+IF(S173&gt;$B$13,VLOOKUP(P173,'$ alcantarillado'!$I$6:$N$22,5),P173)</f>
        <v>0</v>
      </c>
      <c r="U173" s="113" t="str">
        <f>IF(O173&gt;0,VLOOKUP(T173,'$ alcantarillado'!$I$5:$L$22,4),"0")</f>
        <v>0</v>
      </c>
      <c r="V173" s="113" t="str">
        <f t="shared" si="365"/>
        <v/>
      </c>
      <c r="W173" s="146">
        <f t="shared" si="366"/>
        <v>0</v>
      </c>
      <c r="X173" s="146" t="str">
        <f t="shared" si="429"/>
        <v/>
      </c>
      <c r="Y173" s="113" t="str">
        <f>IF(T173&gt;0,(VLOOKUP($W173,Relaciones!$A$4:$D$108,2)),"")</f>
        <v/>
      </c>
      <c r="Z173" s="146" t="str">
        <f t="shared" si="430"/>
        <v/>
      </c>
      <c r="AA173" s="146" t="str">
        <f t="shared" si="431"/>
        <v/>
      </c>
      <c r="AB173" s="147" t="str">
        <f t="shared" si="432"/>
        <v/>
      </c>
      <c r="AC173" s="147" t="str">
        <f t="shared" si="433"/>
        <v/>
      </c>
      <c r="AD173" s="147" t="str">
        <f t="shared" si="434"/>
        <v/>
      </c>
      <c r="AE173" s="148">
        <f t="shared" si="435"/>
        <v>0</v>
      </c>
      <c r="AF173" s="148">
        <f t="shared" si="435"/>
        <v>0</v>
      </c>
      <c r="AG173" s="148">
        <f t="shared" si="435"/>
        <v>0</v>
      </c>
      <c r="AH173" s="148">
        <f t="shared" si="436"/>
        <v>0</v>
      </c>
      <c r="AI173" s="147">
        <f t="shared" si="437"/>
        <v>0</v>
      </c>
      <c r="AJ173" s="149">
        <f>IF(AI173&gt;0,I173*VLOOKUP(T173,'$ alcantarillado'!$I$6:$K$22,3),0)</f>
        <v>0</v>
      </c>
      <c r="AK173" s="149">
        <f t="shared" si="367"/>
        <v>0</v>
      </c>
      <c r="AL173" s="149">
        <f t="shared" si="368"/>
        <v>0</v>
      </c>
      <c r="AM173" s="149">
        <f t="shared" si="382"/>
        <v>0</v>
      </c>
      <c r="AN173" s="175">
        <v>0</v>
      </c>
      <c r="AO173" s="150" t="str">
        <f t="shared" si="369"/>
        <v/>
      </c>
      <c r="AP173" s="219"/>
      <c r="AQ173" s="142">
        <v>1</v>
      </c>
      <c r="AR173" s="165">
        <v>5</v>
      </c>
    </row>
    <row r="174" spans="1:44" x14ac:dyDescent="0.25">
      <c r="A174" s="230"/>
      <c r="B174" s="230"/>
      <c r="C174" s="230"/>
      <c r="D174" s="230"/>
      <c r="E174" s="151">
        <v>4</v>
      </c>
      <c r="F174" s="128">
        <f t="shared" si="438"/>
        <v>46.129999999999995</v>
      </c>
      <c r="G174" s="151">
        <v>5</v>
      </c>
      <c r="H174" s="128">
        <f t="shared" si="439"/>
        <v>47.07</v>
      </c>
      <c r="I174" s="142">
        <f t="shared" si="439"/>
        <v>80</v>
      </c>
      <c r="J174" s="143">
        <f>+(F174-H174)/I174</f>
        <v>-1.1750000000000061E-2</v>
      </c>
      <c r="K174" s="142">
        <f t="shared" si="440"/>
        <v>948</v>
      </c>
      <c r="L174" s="128">
        <f t="shared" si="371"/>
        <v>13.275700000000001</v>
      </c>
      <c r="M174" s="144">
        <f t="shared" si="428"/>
        <v>1.32757E-2</v>
      </c>
      <c r="N174" s="144">
        <f t="shared" si="360"/>
        <v>0</v>
      </c>
      <c r="O174" s="144">
        <f t="shared" si="361"/>
        <v>0</v>
      </c>
      <c r="P174" s="145">
        <f t="shared" si="362"/>
        <v>0</v>
      </c>
      <c r="Q174" s="113" t="str">
        <f>IF(O174&gt;0,VLOOKUP(P174,'$ alcantarillado'!$I$5:$L$22,4,FALSE),"0")</f>
        <v>0</v>
      </c>
      <c r="R174" s="113" t="str">
        <f t="shared" si="363"/>
        <v/>
      </c>
      <c r="S174" s="146">
        <f t="shared" si="364"/>
        <v>0</v>
      </c>
      <c r="T174" s="145">
        <f>+IF(S174&gt;$B$13,VLOOKUP(P174,'$ alcantarillado'!$I$6:$N$22,5),P174)</f>
        <v>0</v>
      </c>
      <c r="U174" s="113" t="str">
        <f>IF(O174&gt;0,VLOOKUP(T174,'$ alcantarillado'!$I$5:$L$22,4),"0")</f>
        <v>0</v>
      </c>
      <c r="V174" s="113" t="str">
        <f t="shared" si="365"/>
        <v/>
      </c>
      <c r="W174" s="146">
        <f t="shared" si="366"/>
        <v>0</v>
      </c>
      <c r="X174" s="146" t="str">
        <f t="shared" si="429"/>
        <v/>
      </c>
      <c r="Y174" s="113" t="str">
        <f>IF(T174&gt;0,(VLOOKUP($W174,Relaciones!$A$4:$D$108,2)),"")</f>
        <v/>
      </c>
      <c r="Z174" s="146" t="str">
        <f t="shared" si="430"/>
        <v/>
      </c>
      <c r="AA174" s="146" t="str">
        <f t="shared" si="431"/>
        <v/>
      </c>
      <c r="AB174" s="147" t="str">
        <f t="shared" si="432"/>
        <v/>
      </c>
      <c r="AC174" s="147" t="str">
        <f t="shared" si="433"/>
        <v/>
      </c>
      <c r="AD174" s="147" t="str">
        <f t="shared" si="434"/>
        <v/>
      </c>
      <c r="AE174" s="148">
        <f t="shared" si="435"/>
        <v>0</v>
      </c>
      <c r="AF174" s="148">
        <f t="shared" si="435"/>
        <v>0</v>
      </c>
      <c r="AG174" s="148">
        <f t="shared" si="435"/>
        <v>0</v>
      </c>
      <c r="AH174" s="148">
        <f t="shared" si="436"/>
        <v>0</v>
      </c>
      <c r="AI174" s="147">
        <f t="shared" si="437"/>
        <v>0</v>
      </c>
      <c r="AJ174" s="149">
        <f>IF(AI174&gt;0,I174*VLOOKUP(T174,'$ alcantarillado'!$I$6:$K$22,3),0)</f>
        <v>0</v>
      </c>
      <c r="AK174" s="149">
        <f t="shared" si="367"/>
        <v>0</v>
      </c>
      <c r="AL174" s="149">
        <f t="shared" si="368"/>
        <v>0</v>
      </c>
      <c r="AM174" s="149">
        <f t="shared" si="382"/>
        <v>0</v>
      </c>
      <c r="AN174" s="175">
        <v>0</v>
      </c>
      <c r="AO174" s="150" t="str">
        <f t="shared" si="369"/>
        <v/>
      </c>
      <c r="AP174" s="219"/>
      <c r="AQ174" s="142"/>
      <c r="AR174" s="165"/>
    </row>
    <row r="175" spans="1:44" ht="15.75" thickBot="1" x14ac:dyDescent="0.3">
      <c r="A175" s="231"/>
      <c r="B175" s="231"/>
      <c r="C175" s="231"/>
      <c r="D175" s="231"/>
      <c r="E175" s="152">
        <v>5</v>
      </c>
      <c r="F175" s="153">
        <f t="shared" si="438"/>
        <v>45.629999999999995</v>
      </c>
      <c r="G175" s="152">
        <v>5</v>
      </c>
      <c r="H175" s="153">
        <f>+H174</f>
        <v>47.07</v>
      </c>
      <c r="I175" s="154">
        <f>+I174</f>
        <v>80</v>
      </c>
      <c r="J175" s="155">
        <f t="shared" si="370"/>
        <v>-1.8000000000000061E-2</v>
      </c>
      <c r="K175" s="154">
        <f>+K174</f>
        <v>948</v>
      </c>
      <c r="L175" s="153">
        <f t="shared" si="371"/>
        <v>13.275700000000001</v>
      </c>
      <c r="M175" s="156">
        <f t="shared" si="428"/>
        <v>1.32757E-2</v>
      </c>
      <c r="N175" s="156">
        <f t="shared" si="360"/>
        <v>0</v>
      </c>
      <c r="O175" s="156">
        <f t="shared" si="361"/>
        <v>0</v>
      </c>
      <c r="P175" s="157">
        <f t="shared" si="362"/>
        <v>0</v>
      </c>
      <c r="Q175" s="113" t="str">
        <f>IF(O175&gt;0,VLOOKUP(P175,'$ alcantarillado'!$I$5:$L$22,4,FALSE),"0")</f>
        <v>0</v>
      </c>
      <c r="R175" s="160" t="str">
        <f t="shared" si="363"/>
        <v/>
      </c>
      <c r="S175" s="146">
        <f t="shared" si="364"/>
        <v>0</v>
      </c>
      <c r="T175" s="145">
        <f>+IF(S175&gt;$B$13,VLOOKUP(P175,'$ alcantarillado'!$I$6:$N$22,5),P175)</f>
        <v>0</v>
      </c>
      <c r="U175" s="113" t="str">
        <f>IF(O175&gt;0,VLOOKUP(T175,'$ alcantarillado'!$I$5:$L$22,4),"0")</f>
        <v>0</v>
      </c>
      <c r="V175" s="113" t="str">
        <f t="shared" si="365"/>
        <v/>
      </c>
      <c r="W175" s="146">
        <f t="shared" si="366"/>
        <v>0</v>
      </c>
      <c r="X175" s="146" t="str">
        <f t="shared" si="429"/>
        <v/>
      </c>
      <c r="Y175" s="113" t="str">
        <f>IF(T175&gt;0,(VLOOKUP($W175,Relaciones!$A$4:$D$108,2)),"")</f>
        <v/>
      </c>
      <c r="Z175" s="146" t="str">
        <f t="shared" si="430"/>
        <v/>
      </c>
      <c r="AA175" s="146" t="str">
        <f t="shared" si="431"/>
        <v/>
      </c>
      <c r="AB175" s="147" t="str">
        <f t="shared" si="432"/>
        <v/>
      </c>
      <c r="AC175" s="147" t="str">
        <f t="shared" si="433"/>
        <v/>
      </c>
      <c r="AD175" s="147" t="str">
        <f t="shared" si="434"/>
        <v/>
      </c>
      <c r="AE175" s="148">
        <f t="shared" si="435"/>
        <v>0</v>
      </c>
      <c r="AF175" s="148">
        <f t="shared" si="435"/>
        <v>0</v>
      </c>
      <c r="AG175" s="148">
        <f t="shared" si="435"/>
        <v>0</v>
      </c>
      <c r="AH175" s="148">
        <f t="shared" si="436"/>
        <v>0</v>
      </c>
      <c r="AI175" s="147">
        <f t="shared" si="437"/>
        <v>0</v>
      </c>
      <c r="AJ175" s="158">
        <f>IF(AI175&gt;0,I175*VLOOKUP(T175,'$ alcantarillado'!$I$6:$K$22,3),0)</f>
        <v>0</v>
      </c>
      <c r="AK175" s="149">
        <f t="shared" si="367"/>
        <v>0</v>
      </c>
      <c r="AL175" s="149">
        <f t="shared" si="368"/>
        <v>0</v>
      </c>
      <c r="AM175" s="158">
        <f t="shared" si="382"/>
        <v>0</v>
      </c>
      <c r="AN175" s="175">
        <v>0</v>
      </c>
      <c r="AO175" s="159" t="str">
        <f t="shared" si="369"/>
        <v/>
      </c>
      <c r="AP175" s="220"/>
      <c r="AQ175" s="142"/>
      <c r="AR175" s="165"/>
    </row>
    <row r="176" spans="1:44" x14ac:dyDescent="0.25">
      <c r="A176" s="210">
        <v>7</v>
      </c>
      <c r="B176" s="210">
        <v>4</v>
      </c>
      <c r="C176" s="210">
        <v>5</v>
      </c>
      <c r="D176" s="210">
        <v>49.02</v>
      </c>
      <c r="E176" s="4">
        <v>1</v>
      </c>
      <c r="F176" s="7">
        <f>+H151</f>
        <v>47.57</v>
      </c>
      <c r="G176" s="4">
        <v>1</v>
      </c>
      <c r="H176" s="64">
        <f>+H186+2*$B$15</f>
        <v>47.14</v>
      </c>
      <c r="I176" s="7">
        <v>80</v>
      </c>
      <c r="J176" s="17">
        <f>+(F176-H176)/I176</f>
        <v>5.3749999999999961E-3</v>
      </c>
      <c r="K176" s="32">
        <f>+K151</f>
        <v>948</v>
      </c>
      <c r="L176" s="14">
        <f>IF(K176&lt;38,K176^0.3686*0.7401,IF(K176&lt;235,K176^0.4193*0.6215,IF(K176&lt;932,K176*0.0092+4.2493,K176*0.0069+6.7345)))</f>
        <v>13.275700000000001</v>
      </c>
      <c r="M176" s="31">
        <f>+L176/1000</f>
        <v>1.32757E-2</v>
      </c>
      <c r="N176" s="31">
        <f t="shared" si="360"/>
        <v>0.1450630704499157</v>
      </c>
      <c r="O176" s="31">
        <f t="shared" si="361"/>
        <v>5.711144505902193</v>
      </c>
      <c r="P176" s="57">
        <f t="shared" si="362"/>
        <v>6</v>
      </c>
      <c r="Q176" s="60">
        <f>IF(O176&gt;0,VLOOKUP(P176,'$ alcantarillado'!$I$5:$L$22,4,FALSE),"0")</f>
        <v>0.14499999999999999</v>
      </c>
      <c r="R176" s="60">
        <f t="shared" si="363"/>
        <v>1.3260313570181519E-2</v>
      </c>
      <c r="S176" s="27">
        <f t="shared" si="364"/>
        <v>1.0011603368002608</v>
      </c>
      <c r="T176" s="57">
        <f>+IF(S176&gt;$B$13,VLOOKUP(P176,'$ alcantarillado'!$I$6:$N$22,5),P176)</f>
        <v>8</v>
      </c>
      <c r="U176" s="60">
        <f>IF(O176&gt;0,VLOOKUP(T176,'$ alcantarillado'!$I$5:$L$22,4),"0")</f>
        <v>0.182</v>
      </c>
      <c r="V176" s="60">
        <f t="shared" si="365"/>
        <v>2.4308760944232927E-2</v>
      </c>
      <c r="W176" s="27">
        <f t="shared" si="366"/>
        <v>0.54612820581254518</v>
      </c>
      <c r="X176" s="27">
        <f>IF(T176&gt;0,4*V176/(PI()*(U176)^2),"")</f>
        <v>0.9343942675314284</v>
      </c>
      <c r="Y176" s="60">
        <f>IF(T176&gt;0,(VLOOKUP($W176,Relaciones!$A$4:$D$108,2)),"")</f>
        <v>0.87</v>
      </c>
      <c r="Z176" s="27">
        <f>IF(T176&gt;0,Y176*X176,"")</f>
        <v>0.81292301275234269</v>
      </c>
      <c r="AA176" s="27">
        <f>IF(T176&gt;0,250*U176*J176,"")</f>
        <v>0.24456249999999982</v>
      </c>
      <c r="AB176" s="45" t="str">
        <f>IF(T176&gt;0,IF(W176&lt;=$B$13,"OK","No Cumple"),"")</f>
        <v>OK</v>
      </c>
      <c r="AC176" s="45" t="str">
        <f>IF(T176&gt;0,IF(Z176&gt;=$B$12,"OK","No Cumple"),"")</f>
        <v>OK</v>
      </c>
      <c r="AD176" s="45" t="str">
        <f>IF(T176&gt;0,IF(AA176&gt;$B$14,"OK","No Cumple"),"")</f>
        <v>OK</v>
      </c>
      <c r="AE176" s="32">
        <f>+IF(AB176="OK",1,0)</f>
        <v>1</v>
      </c>
      <c r="AF176" s="32">
        <f>+IF(AC176="OK",1,0)</f>
        <v>1</v>
      </c>
      <c r="AG176" s="32">
        <f>+IF(AD176="OK",1,0)</f>
        <v>1</v>
      </c>
      <c r="AH176" s="32">
        <f>SUM(AE176:AG176)</f>
        <v>3</v>
      </c>
      <c r="AI176" s="45">
        <f>IF(AH176=3,2*$B$7+U176,0)</f>
        <v>0.68199999999999994</v>
      </c>
      <c r="AJ176" s="21">
        <f>IF(AI176&gt;0,I176*VLOOKUP(T176,'$ alcantarillado'!$I$6:$K$22,3),0)</f>
        <v>2654586.666666667</v>
      </c>
      <c r="AK176" s="61">
        <f t="shared" ref="AK176:AK200" si="441">IF(N176&gt;0,((($D$176-F176)+(U176))+(($D$201-H176)+(U176))/2)*AI176*I176*$C$9,0)</f>
        <v>2649651.8400000036</v>
      </c>
      <c r="AL176" s="61">
        <f t="shared" ref="AL176:AL200" si="442">IF(AI176&gt;0,(($D$176-F176)+U176)*$C$10,0)</f>
        <v>1139104.9920000019</v>
      </c>
      <c r="AM176" s="21">
        <f>IF(AJ176&gt;0,AJ176+AK176+AL176,0)</f>
        <v>6443343.498666672</v>
      </c>
      <c r="AN176" s="81">
        <f>IF(AP151&gt;0,+AP151,0)</f>
        <v>0</v>
      </c>
      <c r="AO176" s="77" t="str">
        <f>IF((AM176)&gt;0,IF(AN176&gt;0,AM176+AN176,""),"")</f>
        <v/>
      </c>
      <c r="AP176" s="213">
        <f>+MIN(AO176:AO180)</f>
        <v>0</v>
      </c>
      <c r="AQ176" s="7"/>
      <c r="AR176" s="8"/>
    </row>
    <row r="177" spans="1:44" x14ac:dyDescent="0.25">
      <c r="A177" s="211"/>
      <c r="B177" s="211"/>
      <c r="C177" s="211"/>
      <c r="D177" s="211"/>
      <c r="E177" s="5">
        <v>2</v>
      </c>
      <c r="F177" s="2">
        <f>+H156</f>
        <v>47.445</v>
      </c>
      <c r="G177" s="5">
        <v>1</v>
      </c>
      <c r="H177" s="35">
        <f>+H176</f>
        <v>47.14</v>
      </c>
      <c r="I177" s="2">
        <f>+I176</f>
        <v>80</v>
      </c>
      <c r="J177" s="18">
        <f t="shared" ref="J177:J200" si="443">+(F177-H177)/I177</f>
        <v>3.8124999999999964E-3</v>
      </c>
      <c r="K177" s="2">
        <f>+K176</f>
        <v>948</v>
      </c>
      <c r="L177" s="15">
        <f t="shared" ref="L177:L200" si="444">IF(K177&lt;38,K177^0.3686*0.7401,IF(K177&lt;235,K177^0.4193*0.6215,IF(K177&lt;932,K177*0.0092+4.2493,K177*0.0069+6.7345)))</f>
        <v>13.275700000000001</v>
      </c>
      <c r="M177" s="33">
        <f t="shared" ref="M177:M180" si="445">+L177/1000</f>
        <v>1.32757E-2</v>
      </c>
      <c r="N177" s="33">
        <f t="shared" si="360"/>
        <v>0.15471270563132869</v>
      </c>
      <c r="O177" s="33">
        <f t="shared" si="361"/>
        <v>6.0910514028082163</v>
      </c>
      <c r="P177" s="58">
        <f t="shared" si="362"/>
        <v>8</v>
      </c>
      <c r="Q177" s="55">
        <f>IF(O177&gt;0,VLOOKUP(P177,'$ alcantarillado'!$I$5:$L$22,4,FALSE),"0")</f>
        <v>0.182</v>
      </c>
      <c r="R177" s="55">
        <f t="shared" si="363"/>
        <v>2.0472859906691582E-2</v>
      </c>
      <c r="S177" s="35">
        <f t="shared" si="364"/>
        <v>0.64845361422420611</v>
      </c>
      <c r="T177" s="58">
        <f>+IF(S177&gt;$B$13,VLOOKUP(P177,'$ alcantarillado'!$I$6:$N$22,5),P177)</f>
        <v>8</v>
      </c>
      <c r="U177" s="55">
        <f>IF(O177&gt;0,VLOOKUP(T177,'$ alcantarillado'!$I$5:$L$22,4),"0")</f>
        <v>0.182</v>
      </c>
      <c r="V177" s="55">
        <f t="shared" si="365"/>
        <v>2.0472859906691582E-2</v>
      </c>
      <c r="W177" s="35">
        <f t="shared" si="366"/>
        <v>0.64845361422420611</v>
      </c>
      <c r="X177" s="35">
        <f t="shared" ref="X177:X180" si="446">IF(T177&gt;0,4*V177/(PI()*(U177)^2),"")</f>
        <v>0.78694767621732742</v>
      </c>
      <c r="Y177" s="55">
        <f>IF(T177&gt;0,(VLOOKUP($W177,Relaciones!$A$4:$D$108,2)),"")</f>
        <v>0.91800000000000004</v>
      </c>
      <c r="Z177" s="35">
        <f t="shared" ref="Z177:Z180" si="447">IF(T177&gt;0,Y177*X177,"")</f>
        <v>0.72241796676750658</v>
      </c>
      <c r="AA177" s="35">
        <f t="shared" ref="AA177:AA180" si="448">IF(T177&gt;0,250*U177*J177,"")</f>
        <v>0.17346874999999984</v>
      </c>
      <c r="AB177" s="46" t="str">
        <f t="shared" ref="AB177:AB180" si="449">IF(T177&gt;0,IF(W177&lt;=$B$13,"OK","No Cumple"),"")</f>
        <v>OK</v>
      </c>
      <c r="AC177" s="46" t="str">
        <f t="shared" ref="AC177:AC180" si="450">IF(T177&gt;0,IF(Z177&gt;=$B$12,"OK","No Cumple"),"")</f>
        <v>OK</v>
      </c>
      <c r="AD177" s="46" t="str">
        <f t="shared" ref="AD177:AD180" si="451">IF(T177&gt;0,IF(AA177&gt;$B$14,"OK","No Cumple"),"")</f>
        <v>OK</v>
      </c>
      <c r="AE177" s="48">
        <f t="shared" ref="AE177:AG180" si="452">+IF(AB177="OK",1,0)</f>
        <v>1</v>
      </c>
      <c r="AF177" s="48">
        <f t="shared" si="452"/>
        <v>1</v>
      </c>
      <c r="AG177" s="48">
        <f t="shared" si="452"/>
        <v>1</v>
      </c>
      <c r="AH177" s="48">
        <f t="shared" ref="AH177:AH180" si="453">SUM(AE177:AG177)</f>
        <v>3</v>
      </c>
      <c r="AI177" s="46">
        <f t="shared" ref="AI177:AI180" si="454">IF(AH177=3,2*$B$7+U177,0)</f>
        <v>0.68199999999999994</v>
      </c>
      <c r="AJ177" s="20">
        <f>IF(AI177&gt;0,I177*VLOOKUP(T177,'$ alcantarillado'!$I$6:$K$22,3),0)</f>
        <v>2654586.666666667</v>
      </c>
      <c r="AK177" s="20">
        <f t="shared" si="441"/>
        <v>2772411.840000004</v>
      </c>
      <c r="AL177" s="20">
        <f t="shared" si="442"/>
        <v>1226352.6170000019</v>
      </c>
      <c r="AM177" s="20">
        <f t="shared" ref="AM177:AM200" si="455">IF(AJ177&gt;0,AJ177+AK177+AL177,0)</f>
        <v>6653351.1236666739</v>
      </c>
      <c r="AN177" s="80">
        <f>+AP156</f>
        <v>0</v>
      </c>
      <c r="AO177" s="78" t="str">
        <f t="shared" ref="AO177:AO180" si="456">IF((AM177)&gt;0,IF(AN177&gt;0,AM177+AN177,""),"")</f>
        <v/>
      </c>
      <c r="AP177" s="214"/>
      <c r="AQ177" s="2"/>
      <c r="AR177" s="9"/>
    </row>
    <row r="178" spans="1:44" x14ac:dyDescent="0.25">
      <c r="A178" s="211"/>
      <c r="B178" s="211"/>
      <c r="C178" s="211"/>
      <c r="D178" s="211"/>
      <c r="E178" s="56">
        <v>3</v>
      </c>
      <c r="F178" s="2">
        <f>+H161</f>
        <v>47.32</v>
      </c>
      <c r="G178" s="56">
        <v>1</v>
      </c>
      <c r="H178" s="2">
        <f t="shared" ref="H178:I179" si="457">+H177</f>
        <v>47.14</v>
      </c>
      <c r="I178" s="2">
        <f t="shared" si="457"/>
        <v>80</v>
      </c>
      <c r="J178" s="18">
        <f t="shared" si="443"/>
        <v>2.2499999999999964E-3</v>
      </c>
      <c r="K178" s="2">
        <f t="shared" ref="K178:K179" si="458">+K177</f>
        <v>948</v>
      </c>
      <c r="L178" s="15">
        <f t="shared" si="444"/>
        <v>13.275700000000001</v>
      </c>
      <c r="M178" s="33">
        <f t="shared" si="445"/>
        <v>1.32757E-2</v>
      </c>
      <c r="N178" s="33">
        <f t="shared" si="360"/>
        <v>0.1707924255640231</v>
      </c>
      <c r="O178" s="33">
        <f t="shared" si="361"/>
        <v>6.7241112426780756</v>
      </c>
      <c r="P178" s="58">
        <f t="shared" si="362"/>
        <v>8</v>
      </c>
      <c r="Q178" s="55">
        <f>IF(O178&gt;0,VLOOKUP(P178,'$ alcantarillado'!$I$5:$L$22,4,FALSE),"0")</f>
        <v>0.182</v>
      </c>
      <c r="R178" s="55">
        <f t="shared" si="363"/>
        <v>1.5727686634536414E-2</v>
      </c>
      <c r="S178" s="35">
        <f t="shared" si="364"/>
        <v>0.84409743838918438</v>
      </c>
      <c r="T178" s="58">
        <f>+IF(S178&gt;$B$13,VLOOKUP(P178,'$ alcantarillado'!$I$6:$N$22,5),P178)</f>
        <v>8</v>
      </c>
      <c r="U178" s="55">
        <f>IF(O178&gt;0,VLOOKUP(T178,'$ alcantarillado'!$I$5:$L$22,4),"0")</f>
        <v>0.182</v>
      </c>
      <c r="V178" s="55">
        <f t="shared" si="365"/>
        <v>1.5727686634536414E-2</v>
      </c>
      <c r="W178" s="35">
        <f t="shared" si="366"/>
        <v>0.84409743838918438</v>
      </c>
      <c r="X178" s="35">
        <f t="shared" si="446"/>
        <v>0.60454995079985652</v>
      </c>
      <c r="Y178" s="55">
        <f>IF(T178&gt;0,(VLOOKUP($W178,Relaciones!$A$4:$D$108,2)),"")</f>
        <v>0.997</v>
      </c>
      <c r="Z178" s="35">
        <f t="shared" si="447"/>
        <v>0.60273630094745689</v>
      </c>
      <c r="AA178" s="35">
        <f t="shared" si="448"/>
        <v>0.10237499999999984</v>
      </c>
      <c r="AB178" s="46" t="str">
        <f t="shared" si="449"/>
        <v>OK</v>
      </c>
      <c r="AC178" s="46" t="str">
        <f t="shared" si="450"/>
        <v>OK</v>
      </c>
      <c r="AD178" s="46" t="str">
        <f t="shared" si="451"/>
        <v>No Cumple</v>
      </c>
      <c r="AE178" s="48">
        <f t="shared" si="452"/>
        <v>1</v>
      </c>
      <c r="AF178" s="48">
        <f t="shared" si="452"/>
        <v>1</v>
      </c>
      <c r="AG178" s="48">
        <f t="shared" si="452"/>
        <v>0</v>
      </c>
      <c r="AH178" s="48">
        <f t="shared" si="453"/>
        <v>2</v>
      </c>
      <c r="AI178" s="46">
        <f t="shared" si="454"/>
        <v>0</v>
      </c>
      <c r="AJ178" s="20">
        <f>IF(AI178&gt;0,I178*VLOOKUP(T178,'$ alcantarillado'!$I$6:$K$22,3),0)</f>
        <v>0</v>
      </c>
      <c r="AK178" s="20">
        <f t="shared" si="441"/>
        <v>0</v>
      </c>
      <c r="AL178" s="20">
        <f t="shared" si="442"/>
        <v>0</v>
      </c>
      <c r="AM178" s="20">
        <f t="shared" si="455"/>
        <v>0</v>
      </c>
      <c r="AN178" s="80">
        <f>+AP161</f>
        <v>5900568.248666672</v>
      </c>
      <c r="AO178" s="78" t="str">
        <f t="shared" si="456"/>
        <v/>
      </c>
      <c r="AP178" s="215"/>
      <c r="AQ178" s="2"/>
      <c r="AR178" s="9"/>
    </row>
    <row r="179" spans="1:44" x14ac:dyDescent="0.25">
      <c r="A179" s="211"/>
      <c r="B179" s="211"/>
      <c r="C179" s="211"/>
      <c r="D179" s="211"/>
      <c r="E179" s="56">
        <v>4</v>
      </c>
      <c r="F179" s="2">
        <f>+H166</f>
        <v>47.195</v>
      </c>
      <c r="G179" s="56">
        <v>1</v>
      </c>
      <c r="H179" s="2">
        <f t="shared" si="457"/>
        <v>47.14</v>
      </c>
      <c r="I179" s="2">
        <f t="shared" si="457"/>
        <v>80</v>
      </c>
      <c r="J179" s="18">
        <f>+(F179-H179)/I179</f>
        <v>6.8749999999999649E-4</v>
      </c>
      <c r="K179" s="2">
        <f t="shared" si="458"/>
        <v>948</v>
      </c>
      <c r="L179" s="15">
        <f t="shared" si="444"/>
        <v>13.275700000000001</v>
      </c>
      <c r="M179" s="33">
        <f t="shared" si="445"/>
        <v>1.32757E-2</v>
      </c>
      <c r="N179" s="33">
        <f t="shared" si="360"/>
        <v>0.2133114641997132</v>
      </c>
      <c r="O179" s="33">
        <f t="shared" si="361"/>
        <v>8.3980891417209929</v>
      </c>
      <c r="P179" s="58">
        <f t="shared" si="362"/>
        <v>10</v>
      </c>
      <c r="Q179" s="55">
        <f>IF(O179&gt;0,VLOOKUP(P179,'$ alcantarillado'!$I$5:$L$22,4,FALSE),"0")</f>
        <v>0.22700000000000001</v>
      </c>
      <c r="R179" s="55">
        <f t="shared" si="363"/>
        <v>1.5670704607542094E-2</v>
      </c>
      <c r="S179" s="35">
        <f t="shared" si="364"/>
        <v>0.84716675685473575</v>
      </c>
      <c r="T179" s="58">
        <f>+IF(S179&gt;$B$13,VLOOKUP(P179,'$ alcantarillado'!$I$6:$N$22,5),P179)</f>
        <v>10</v>
      </c>
      <c r="U179" s="55">
        <f>IF(O179&gt;0,VLOOKUP(T179,'$ alcantarillado'!$I$5:$L$22,4),"0")</f>
        <v>0.22700000000000001</v>
      </c>
      <c r="V179" s="55">
        <f t="shared" si="365"/>
        <v>1.5670704607542094E-2</v>
      </c>
      <c r="W179" s="35">
        <f t="shared" si="366"/>
        <v>0.84716675685473575</v>
      </c>
      <c r="X179" s="35">
        <f t="shared" si="446"/>
        <v>0.38721032428702501</v>
      </c>
      <c r="Y179" s="55">
        <f>IF(T179&gt;0,(VLOOKUP($W179,Relaciones!$A$4:$D$108,2)),"")</f>
        <v>0.997</v>
      </c>
      <c r="Z179" s="35">
        <f t="shared" si="447"/>
        <v>0.38604869331416392</v>
      </c>
      <c r="AA179" s="35">
        <f t="shared" si="448"/>
        <v>3.9015624999999804E-2</v>
      </c>
      <c r="AB179" s="46" t="str">
        <f t="shared" si="449"/>
        <v>OK</v>
      </c>
      <c r="AC179" s="46" t="str">
        <f t="shared" si="450"/>
        <v>No Cumple</v>
      </c>
      <c r="AD179" s="46" t="str">
        <f t="shared" si="451"/>
        <v>No Cumple</v>
      </c>
      <c r="AE179" s="48">
        <f t="shared" si="452"/>
        <v>1</v>
      </c>
      <c r="AF179" s="48">
        <f t="shared" si="452"/>
        <v>0</v>
      </c>
      <c r="AG179" s="48">
        <f t="shared" si="452"/>
        <v>0</v>
      </c>
      <c r="AH179" s="48">
        <f t="shared" si="453"/>
        <v>1</v>
      </c>
      <c r="AI179" s="46">
        <f t="shared" si="454"/>
        <v>0</v>
      </c>
      <c r="AJ179" s="20">
        <f>IF(AI179&gt;0,I179*VLOOKUP(T179,'$ alcantarillado'!$I$6:$K$22,3),0)</f>
        <v>0</v>
      </c>
      <c r="AK179" s="20">
        <f t="shared" si="441"/>
        <v>0</v>
      </c>
      <c r="AL179" s="20">
        <f t="shared" si="442"/>
        <v>0</v>
      </c>
      <c r="AM179" s="20">
        <f t="shared" si="455"/>
        <v>0</v>
      </c>
      <c r="AN179" s="80">
        <f>+AP166</f>
        <v>5961948.248666672</v>
      </c>
      <c r="AO179" s="78" t="str">
        <f t="shared" si="456"/>
        <v/>
      </c>
      <c r="AP179" s="215"/>
      <c r="AQ179" s="2"/>
      <c r="AR179" s="9"/>
    </row>
    <row r="180" spans="1:44" ht="15.75" thickBot="1" x14ac:dyDescent="0.3">
      <c r="A180" s="211"/>
      <c r="B180" s="211"/>
      <c r="C180" s="211"/>
      <c r="D180" s="211"/>
      <c r="E180" s="6">
        <v>5</v>
      </c>
      <c r="F180" s="16">
        <f>+H171</f>
        <v>47.07</v>
      </c>
      <c r="G180" s="6">
        <v>1</v>
      </c>
      <c r="H180" s="10">
        <f>+H179</f>
        <v>47.14</v>
      </c>
      <c r="I180" s="10">
        <f>+I179</f>
        <v>80</v>
      </c>
      <c r="J180" s="19">
        <f t="shared" si="443"/>
        <v>-8.750000000000036E-4</v>
      </c>
      <c r="K180" s="10">
        <f>+K179</f>
        <v>948</v>
      </c>
      <c r="L180" s="16">
        <f t="shared" si="444"/>
        <v>13.275700000000001</v>
      </c>
      <c r="M180" s="34">
        <f t="shared" si="445"/>
        <v>1.32757E-2</v>
      </c>
      <c r="N180" s="34">
        <f t="shared" si="360"/>
        <v>0</v>
      </c>
      <c r="O180" s="34">
        <f t="shared" si="361"/>
        <v>0</v>
      </c>
      <c r="P180" s="59">
        <f t="shared" si="362"/>
        <v>0</v>
      </c>
      <c r="Q180" s="55" t="str">
        <f>IF(O180&gt;0,VLOOKUP(P180,'$ alcantarillado'!$I$5:$L$22,4,FALSE),"0")</f>
        <v>0</v>
      </c>
      <c r="R180" s="55" t="str">
        <f t="shared" si="363"/>
        <v/>
      </c>
      <c r="S180" s="35">
        <f t="shared" si="364"/>
        <v>0</v>
      </c>
      <c r="T180" s="58">
        <f>+IF(S180&gt;$B$13,VLOOKUP(P180,'$ alcantarillado'!$I$6:$N$22,5),P180)</f>
        <v>0</v>
      </c>
      <c r="U180" s="55" t="str">
        <f>IF(O180&gt;0,VLOOKUP(T180,'$ alcantarillado'!$I$5:$L$22,4),"0")</f>
        <v>0</v>
      </c>
      <c r="V180" s="55" t="str">
        <f t="shared" si="365"/>
        <v/>
      </c>
      <c r="W180" s="35">
        <f t="shared" si="366"/>
        <v>0</v>
      </c>
      <c r="X180" s="35" t="str">
        <f t="shared" si="446"/>
        <v/>
      </c>
      <c r="Y180" s="55" t="str">
        <f>IF(T180&gt;0,(VLOOKUP($W180,Relaciones!$A$4:$D$108,2)),"")</f>
        <v/>
      </c>
      <c r="Z180" s="35" t="str">
        <f t="shared" si="447"/>
        <v/>
      </c>
      <c r="AA180" s="35" t="str">
        <f t="shared" si="448"/>
        <v/>
      </c>
      <c r="AB180" s="46" t="str">
        <f t="shared" si="449"/>
        <v/>
      </c>
      <c r="AC180" s="46" t="str">
        <f t="shared" si="450"/>
        <v/>
      </c>
      <c r="AD180" s="46" t="str">
        <f t="shared" si="451"/>
        <v/>
      </c>
      <c r="AE180" s="48">
        <f t="shared" si="452"/>
        <v>0</v>
      </c>
      <c r="AF180" s="48">
        <f t="shared" si="452"/>
        <v>0</v>
      </c>
      <c r="AG180" s="48">
        <f t="shared" si="452"/>
        <v>0</v>
      </c>
      <c r="AH180" s="48">
        <f t="shared" si="453"/>
        <v>0</v>
      </c>
      <c r="AI180" s="46">
        <f t="shared" si="454"/>
        <v>0</v>
      </c>
      <c r="AJ180" s="22">
        <f>IF(AI180&gt;0,I180*VLOOKUP(T180,'$ alcantarillado'!$I$6:$K$22,3),0)</f>
        <v>0</v>
      </c>
      <c r="AK180" s="20">
        <f t="shared" si="441"/>
        <v>0</v>
      </c>
      <c r="AL180" s="20">
        <f t="shared" si="442"/>
        <v>0</v>
      </c>
      <c r="AM180" s="22">
        <f t="shared" si="455"/>
        <v>0</v>
      </c>
      <c r="AN180" s="80">
        <f>+AP171</f>
        <v>6023328.248666672</v>
      </c>
      <c r="AO180" s="79" t="str">
        <f t="shared" si="456"/>
        <v/>
      </c>
      <c r="AP180" s="216"/>
      <c r="AQ180" s="10"/>
      <c r="AR180" s="11"/>
    </row>
    <row r="181" spans="1:44" x14ac:dyDescent="0.25">
      <c r="A181" s="211"/>
      <c r="B181" s="211"/>
      <c r="C181" s="211"/>
      <c r="D181" s="211"/>
      <c r="E181" s="4">
        <v>1</v>
      </c>
      <c r="F181" s="7">
        <f>+H151</f>
        <v>47.57</v>
      </c>
      <c r="G181" s="4">
        <v>2</v>
      </c>
      <c r="H181" s="35">
        <f>+'LOGIKA AN-3'!H181</f>
        <v>47.015000000000001</v>
      </c>
      <c r="I181" s="2">
        <f>+I180</f>
        <v>80</v>
      </c>
      <c r="J181" s="18">
        <f>+(F181-H181)/I181</f>
        <v>6.9374999999999966E-3</v>
      </c>
      <c r="K181" s="2">
        <f>+K180</f>
        <v>948</v>
      </c>
      <c r="L181" s="14">
        <f>IF(K181&lt;38,K181^0.3686*0.7401,IF(K181&lt;235,K181^0.4193*0.6215,IF(K181&lt;932,K181*0.0092+4.2493,K181*0.0069+6.7345)))</f>
        <v>13.275700000000001</v>
      </c>
      <c r="M181" s="31">
        <f>+L181/1000</f>
        <v>1.32757E-2</v>
      </c>
      <c r="N181" s="31">
        <f t="shared" si="360"/>
        <v>0.13828569818226932</v>
      </c>
      <c r="O181" s="31">
        <f t="shared" si="361"/>
        <v>5.4443188260735953</v>
      </c>
      <c r="P181" s="57">
        <f t="shared" si="362"/>
        <v>6</v>
      </c>
      <c r="Q181" s="60">
        <f>IF(O181&gt;0,VLOOKUP(P181,'$ alcantarillado'!$I$5:$L$22,4,FALSE),"0")</f>
        <v>0.14499999999999999</v>
      </c>
      <c r="R181" s="60">
        <f t="shared" si="363"/>
        <v>1.5064893223453581E-2</v>
      </c>
      <c r="S181" s="27">
        <f t="shared" si="364"/>
        <v>0.88123425789250864</v>
      </c>
      <c r="T181" s="57">
        <f>+IF(S181&gt;$B$13,VLOOKUP(P181,'$ alcantarillado'!$I$6:$N$22,5),P181)</f>
        <v>8</v>
      </c>
      <c r="U181" s="60">
        <f>IF(O181&gt;0,VLOOKUP(T181,'$ alcantarillado'!$I$5:$L$22,4),"0")</f>
        <v>0.182</v>
      </c>
      <c r="V181" s="60">
        <f t="shared" si="365"/>
        <v>2.7616910119140928E-2</v>
      </c>
      <c r="W181" s="27">
        <f t="shared" si="366"/>
        <v>0.48070909970477765</v>
      </c>
      <c r="X181" s="27">
        <f>IF(T181&gt;0,4*V181/(PI()*(U181)^2),"")</f>
        <v>1.0615548263219086</v>
      </c>
      <c r="Y181" s="60">
        <f>IF(T181&gt;0,(VLOOKUP($W181,Relaciones!$A$4:$D$108,2)),"")</f>
        <v>0.84</v>
      </c>
      <c r="Z181" s="27">
        <f>IF(T181&gt;0,Y181*X181,"")</f>
        <v>0.89170605411040316</v>
      </c>
      <c r="AA181" s="27">
        <f>IF(T181&gt;0,250*U181*J181,"")</f>
        <v>0.31565624999999986</v>
      </c>
      <c r="AB181" s="45" t="str">
        <f>IF(T181&gt;0,IF(W181&lt;=$B$13,"OK","No Cumple"),"")</f>
        <v>OK</v>
      </c>
      <c r="AC181" s="45" t="str">
        <f>IF(T181&gt;0,IF(Z181&gt;=$B$12,"OK","No Cumple"),"")</f>
        <v>OK</v>
      </c>
      <c r="AD181" s="45" t="str">
        <f>IF(T181&gt;0,IF(AA181&gt;$B$14,"OK","No Cumple"),"")</f>
        <v>OK</v>
      </c>
      <c r="AE181" s="32">
        <f>+IF(AB181="OK",1,0)</f>
        <v>1</v>
      </c>
      <c r="AF181" s="32">
        <f>+IF(AC181="OK",1,0)</f>
        <v>1</v>
      </c>
      <c r="AG181" s="32">
        <f>+IF(AD181="OK",1,0)</f>
        <v>1</v>
      </c>
      <c r="AH181" s="32">
        <f>SUM(AE181:AG181)</f>
        <v>3</v>
      </c>
      <c r="AI181" s="45">
        <f>IF(AH181=3,2*$B$7+U181,0)</f>
        <v>0.68199999999999994</v>
      </c>
      <c r="AJ181" s="21">
        <f>IF(AI181&gt;0,I181*VLOOKUP(T181,'$ alcantarillado'!$I$6:$K$22,3),0)</f>
        <v>2654586.666666667</v>
      </c>
      <c r="AK181" s="61">
        <f t="shared" si="441"/>
        <v>2711031.840000004</v>
      </c>
      <c r="AL181" s="61">
        <f t="shared" si="442"/>
        <v>1139104.9920000019</v>
      </c>
      <c r="AM181" s="21">
        <f>IF(AJ181&gt;0,AJ181+AK181+AL181,0)</f>
        <v>6504723.4986666739</v>
      </c>
      <c r="AN181" s="81">
        <f>IF(AP151&gt;0,+AP151,0)</f>
        <v>0</v>
      </c>
      <c r="AO181" s="77" t="str">
        <f>IF((AM181)&gt;0,IF(AN181&gt;0,AM181+AN181,""),"")</f>
        <v/>
      </c>
      <c r="AP181" s="221">
        <f>+MIN(AO181:AO185)</f>
        <v>12825306.997333344</v>
      </c>
      <c r="AQ181" s="2"/>
      <c r="AR181" s="9"/>
    </row>
    <row r="182" spans="1:44" x14ac:dyDescent="0.25">
      <c r="A182" s="211"/>
      <c r="B182" s="211"/>
      <c r="C182" s="211"/>
      <c r="D182" s="211"/>
      <c r="E182" s="5">
        <v>2</v>
      </c>
      <c r="F182" s="2">
        <f>+H156</f>
        <v>47.445</v>
      </c>
      <c r="G182" s="5">
        <v>2</v>
      </c>
      <c r="H182" s="35">
        <f>+H181</f>
        <v>47.015000000000001</v>
      </c>
      <c r="I182" s="2">
        <f>+I181</f>
        <v>80</v>
      </c>
      <c r="J182" s="18">
        <f t="shared" si="443"/>
        <v>5.3749999999999961E-3</v>
      </c>
      <c r="K182" s="2">
        <f>+K181</f>
        <v>948</v>
      </c>
      <c r="L182" s="15">
        <f t="shared" si="444"/>
        <v>13.275700000000001</v>
      </c>
      <c r="M182" s="33">
        <f t="shared" ref="M182:M185" si="459">+L182/1000</f>
        <v>1.32757E-2</v>
      </c>
      <c r="N182" s="33">
        <f t="shared" si="360"/>
        <v>0.1450630704499157</v>
      </c>
      <c r="O182" s="33">
        <f t="shared" si="361"/>
        <v>5.711144505902193</v>
      </c>
      <c r="P182" s="58">
        <f t="shared" si="362"/>
        <v>6</v>
      </c>
      <c r="Q182" s="55">
        <f>IF(O182&gt;0,VLOOKUP(P182,'$ alcantarillado'!$I$5:$L$22,4,FALSE),"0")</f>
        <v>0.14499999999999999</v>
      </c>
      <c r="R182" s="55">
        <f t="shared" si="363"/>
        <v>1.3260313570181519E-2</v>
      </c>
      <c r="S182" s="35">
        <f t="shared" si="364"/>
        <v>1.0011603368002608</v>
      </c>
      <c r="T182" s="58">
        <f>+IF(S182&gt;$B$13,VLOOKUP(P182,'$ alcantarillado'!$I$6:$N$22,5),P182)</f>
        <v>8</v>
      </c>
      <c r="U182" s="55">
        <f>IF(O182&gt;0,VLOOKUP(T182,'$ alcantarillado'!$I$5:$L$22,4),"0")</f>
        <v>0.182</v>
      </c>
      <c r="V182" s="55">
        <f t="shared" si="365"/>
        <v>2.4308760944232927E-2</v>
      </c>
      <c r="W182" s="35">
        <f t="shared" si="366"/>
        <v>0.54612820581254518</v>
      </c>
      <c r="X182" s="35">
        <f t="shared" ref="X182:X185" si="460">IF(T182&gt;0,4*V182/(PI()*(U182)^2),"")</f>
        <v>0.9343942675314284</v>
      </c>
      <c r="Y182" s="55">
        <f>IF(T182&gt;0,(VLOOKUP($W182,Relaciones!$A$4:$D$108,2)),"")</f>
        <v>0.87</v>
      </c>
      <c r="Z182" s="35">
        <f t="shared" ref="Z182:Z185" si="461">IF(T182&gt;0,Y182*X182,"")</f>
        <v>0.81292301275234269</v>
      </c>
      <c r="AA182" s="35">
        <f t="shared" ref="AA182:AA185" si="462">IF(T182&gt;0,250*U182*J182,"")</f>
        <v>0.24456249999999982</v>
      </c>
      <c r="AB182" s="46" t="str">
        <f t="shared" ref="AB182:AB185" si="463">IF(T182&gt;0,IF(W182&lt;=$B$13,"OK","No Cumple"),"")</f>
        <v>OK</v>
      </c>
      <c r="AC182" s="46" t="str">
        <f t="shared" ref="AC182:AC185" si="464">IF(T182&gt;0,IF(Z182&gt;=$B$12,"OK","No Cumple"),"")</f>
        <v>OK</v>
      </c>
      <c r="AD182" s="46" t="str">
        <f t="shared" ref="AD182:AD185" si="465">IF(T182&gt;0,IF(AA182&gt;$B$14,"OK","No Cumple"),"")</f>
        <v>OK</v>
      </c>
      <c r="AE182" s="48">
        <f t="shared" ref="AE182:AG185" si="466">+IF(AB182="OK",1,0)</f>
        <v>1</v>
      </c>
      <c r="AF182" s="48">
        <f t="shared" si="466"/>
        <v>1</v>
      </c>
      <c r="AG182" s="48">
        <f t="shared" si="466"/>
        <v>1</v>
      </c>
      <c r="AH182" s="48">
        <f t="shared" ref="AH182:AH185" si="467">SUM(AE182:AG182)</f>
        <v>3</v>
      </c>
      <c r="AI182" s="46">
        <f t="shared" ref="AI182:AI185" si="468">IF(AH182=3,2*$B$7+U182,0)</f>
        <v>0.68199999999999994</v>
      </c>
      <c r="AJ182" s="20">
        <f>IF(AI182&gt;0,I182*VLOOKUP(T182,'$ alcantarillado'!$I$6:$K$22,3),0)</f>
        <v>2654586.666666667</v>
      </c>
      <c r="AK182" s="20">
        <f t="shared" si="441"/>
        <v>2833791.8400000036</v>
      </c>
      <c r="AL182" s="20">
        <f t="shared" si="442"/>
        <v>1226352.6170000019</v>
      </c>
      <c r="AM182" s="20">
        <f t="shared" si="455"/>
        <v>6714731.123666672</v>
      </c>
      <c r="AN182" s="80">
        <f>+AP156</f>
        <v>0</v>
      </c>
      <c r="AO182" s="78" t="str">
        <f t="shared" ref="AO182:AO185" si="469">IF((AM182)&gt;0,IF(AN182&gt;0,AM182+AN182,""),"")</f>
        <v/>
      </c>
      <c r="AP182" s="222"/>
      <c r="AQ182" s="2">
        <v>3</v>
      </c>
      <c r="AR182" s="9">
        <v>2</v>
      </c>
    </row>
    <row r="183" spans="1:44" x14ac:dyDescent="0.25">
      <c r="A183" s="211"/>
      <c r="B183" s="211"/>
      <c r="C183" s="211"/>
      <c r="D183" s="211"/>
      <c r="E183" s="56">
        <v>3</v>
      </c>
      <c r="F183" s="2">
        <f>+H161</f>
        <v>47.32</v>
      </c>
      <c r="G183" s="56">
        <v>2</v>
      </c>
      <c r="H183" s="35">
        <f t="shared" ref="H183:I184" si="470">+H182</f>
        <v>47.015000000000001</v>
      </c>
      <c r="I183" s="2">
        <f t="shared" si="470"/>
        <v>80</v>
      </c>
      <c r="J183" s="18">
        <f t="shared" si="443"/>
        <v>3.8124999999999964E-3</v>
      </c>
      <c r="K183" s="2">
        <f t="shared" ref="K183:K184" si="471">+K182</f>
        <v>948</v>
      </c>
      <c r="L183" s="15">
        <f t="shared" si="444"/>
        <v>13.275700000000001</v>
      </c>
      <c r="M183" s="33">
        <f t="shared" si="459"/>
        <v>1.32757E-2</v>
      </c>
      <c r="N183" s="33">
        <f t="shared" si="360"/>
        <v>0.15471270563132869</v>
      </c>
      <c r="O183" s="33">
        <f t="shared" si="361"/>
        <v>6.0910514028082163</v>
      </c>
      <c r="P183" s="58">
        <f t="shared" si="362"/>
        <v>8</v>
      </c>
      <c r="Q183" s="55">
        <f>IF(O183&gt;0,VLOOKUP(P183,'$ alcantarillado'!$I$5:$L$22,4,FALSE),"0")</f>
        <v>0.182</v>
      </c>
      <c r="R183" s="55">
        <f t="shared" si="363"/>
        <v>2.0472859906691582E-2</v>
      </c>
      <c r="S183" s="35">
        <f t="shared" si="364"/>
        <v>0.64845361422420611</v>
      </c>
      <c r="T183" s="58">
        <f>+IF(S183&gt;$B$13,VLOOKUP(P183,'$ alcantarillado'!$I$6:$N$22,5),P183)</f>
        <v>8</v>
      </c>
      <c r="U183" s="55">
        <f>IF(O183&gt;0,VLOOKUP(T183,'$ alcantarillado'!$I$5:$L$22,4),"0")</f>
        <v>0.182</v>
      </c>
      <c r="V183" s="55">
        <f t="shared" si="365"/>
        <v>2.0472859906691582E-2</v>
      </c>
      <c r="W183" s="35">
        <f t="shared" ref="W183:W200" si="472">IF(T183&gt;0,M183/V183,0)</f>
        <v>0.64845361422420611</v>
      </c>
      <c r="X183" s="35">
        <f t="shared" si="460"/>
        <v>0.78694767621732742</v>
      </c>
      <c r="Y183" s="55">
        <f>IF(T183&gt;0,(VLOOKUP($W183,Relaciones!$A$4:$D$108,2)),"")</f>
        <v>0.91800000000000004</v>
      </c>
      <c r="Z183" s="35">
        <f t="shared" si="461"/>
        <v>0.72241796676750658</v>
      </c>
      <c r="AA183" s="35">
        <f t="shared" si="462"/>
        <v>0.17346874999999984</v>
      </c>
      <c r="AB183" s="46" t="str">
        <f t="shared" si="463"/>
        <v>OK</v>
      </c>
      <c r="AC183" s="46" t="str">
        <f t="shared" si="464"/>
        <v>OK</v>
      </c>
      <c r="AD183" s="46" t="str">
        <f t="shared" si="465"/>
        <v>OK</v>
      </c>
      <c r="AE183" s="48">
        <f t="shared" si="466"/>
        <v>1</v>
      </c>
      <c r="AF183" s="48">
        <f t="shared" si="466"/>
        <v>1</v>
      </c>
      <c r="AG183" s="48">
        <f t="shared" si="466"/>
        <v>1</v>
      </c>
      <c r="AH183" s="48">
        <f t="shared" si="467"/>
        <v>3</v>
      </c>
      <c r="AI183" s="46">
        <f t="shared" si="468"/>
        <v>0.68199999999999994</v>
      </c>
      <c r="AJ183" s="20">
        <f>IF(AI183&gt;0,I183*VLOOKUP(T183,'$ alcantarillado'!$I$6:$K$22,3),0)</f>
        <v>2654586.666666667</v>
      </c>
      <c r="AK183" s="20">
        <f t="shared" si="441"/>
        <v>2956551.8400000036</v>
      </c>
      <c r="AL183" s="20">
        <f t="shared" si="442"/>
        <v>1313600.2420000019</v>
      </c>
      <c r="AM183" s="20">
        <f t="shared" si="455"/>
        <v>6924738.748666672</v>
      </c>
      <c r="AN183" s="80">
        <f>+AP161</f>
        <v>5900568.248666672</v>
      </c>
      <c r="AO183" s="66">
        <f t="shared" si="469"/>
        <v>12825306.997333344</v>
      </c>
      <c r="AP183" s="223"/>
      <c r="AQ183" s="2"/>
      <c r="AR183" s="9"/>
    </row>
    <row r="184" spans="1:44" x14ac:dyDescent="0.25">
      <c r="A184" s="211"/>
      <c r="B184" s="211"/>
      <c r="C184" s="211"/>
      <c r="D184" s="211"/>
      <c r="E184" s="56">
        <v>4</v>
      </c>
      <c r="F184" s="2">
        <f>+H166</f>
        <v>47.195</v>
      </c>
      <c r="G184" s="56">
        <v>2</v>
      </c>
      <c r="H184" s="35">
        <f t="shared" si="470"/>
        <v>47.015000000000001</v>
      </c>
      <c r="I184" s="2">
        <f t="shared" si="470"/>
        <v>80</v>
      </c>
      <c r="J184" s="18">
        <f>+(F184-H184)/I184</f>
        <v>2.2499999999999964E-3</v>
      </c>
      <c r="K184" s="2">
        <f t="shared" si="471"/>
        <v>948</v>
      </c>
      <c r="L184" s="15">
        <f t="shared" si="444"/>
        <v>13.275700000000001</v>
      </c>
      <c r="M184" s="33">
        <f t="shared" si="459"/>
        <v>1.32757E-2</v>
      </c>
      <c r="N184" s="33">
        <f t="shared" si="360"/>
        <v>0.1707924255640231</v>
      </c>
      <c r="O184" s="33">
        <f t="shared" si="361"/>
        <v>6.7241112426780756</v>
      </c>
      <c r="P184" s="58">
        <f t="shared" si="362"/>
        <v>8</v>
      </c>
      <c r="Q184" s="55">
        <f>IF(O184&gt;0,VLOOKUP(P184,'$ alcantarillado'!$I$5:$L$22,4,FALSE),"0")</f>
        <v>0.182</v>
      </c>
      <c r="R184" s="55">
        <f t="shared" si="363"/>
        <v>1.5727686634536414E-2</v>
      </c>
      <c r="S184" s="35">
        <f t="shared" si="364"/>
        <v>0.84409743838918438</v>
      </c>
      <c r="T184" s="58">
        <f>+IF(S184&gt;$B$13,VLOOKUP(P184,'$ alcantarillado'!$I$6:$N$22,5),P184)</f>
        <v>8</v>
      </c>
      <c r="U184" s="55">
        <f>IF(O184&gt;0,VLOOKUP(T184,'$ alcantarillado'!$I$5:$L$22,4),"0")</f>
        <v>0.182</v>
      </c>
      <c r="V184" s="55">
        <f t="shared" si="365"/>
        <v>1.5727686634536414E-2</v>
      </c>
      <c r="W184" s="35">
        <f t="shared" si="472"/>
        <v>0.84409743838918438</v>
      </c>
      <c r="X184" s="35">
        <f t="shared" si="460"/>
        <v>0.60454995079985652</v>
      </c>
      <c r="Y184" s="55">
        <f>IF(T184&gt;0,(VLOOKUP($W184,Relaciones!$A$4:$D$108,2)),"")</f>
        <v>0.997</v>
      </c>
      <c r="Z184" s="35">
        <f t="shared" si="461"/>
        <v>0.60273630094745689</v>
      </c>
      <c r="AA184" s="35">
        <f t="shared" si="462"/>
        <v>0.10237499999999984</v>
      </c>
      <c r="AB184" s="46" t="str">
        <f t="shared" si="463"/>
        <v>OK</v>
      </c>
      <c r="AC184" s="46" t="str">
        <f t="shared" si="464"/>
        <v>OK</v>
      </c>
      <c r="AD184" s="46" t="str">
        <f t="shared" si="465"/>
        <v>No Cumple</v>
      </c>
      <c r="AE184" s="48">
        <f t="shared" si="466"/>
        <v>1</v>
      </c>
      <c r="AF184" s="48">
        <f t="shared" si="466"/>
        <v>1</v>
      </c>
      <c r="AG184" s="48">
        <f t="shared" si="466"/>
        <v>0</v>
      </c>
      <c r="AH184" s="48">
        <f t="shared" si="467"/>
        <v>2</v>
      </c>
      <c r="AI184" s="46">
        <f t="shared" si="468"/>
        <v>0</v>
      </c>
      <c r="AJ184" s="20">
        <f>IF(AI184&gt;0,I184*VLOOKUP(T184,'$ alcantarillado'!$I$6:$K$22,3),0)</f>
        <v>0</v>
      </c>
      <c r="AK184" s="20">
        <f t="shared" si="441"/>
        <v>0</v>
      </c>
      <c r="AL184" s="20">
        <f t="shared" si="442"/>
        <v>0</v>
      </c>
      <c r="AM184" s="20">
        <f t="shared" si="455"/>
        <v>0</v>
      </c>
      <c r="AN184" s="80">
        <f>+AP166</f>
        <v>5961948.248666672</v>
      </c>
      <c r="AO184" s="78" t="str">
        <f t="shared" si="469"/>
        <v/>
      </c>
      <c r="AP184" s="223"/>
      <c r="AQ184" s="2"/>
      <c r="AR184" s="9"/>
    </row>
    <row r="185" spans="1:44" ht="15.75" thickBot="1" x14ac:dyDescent="0.3">
      <c r="A185" s="211"/>
      <c r="B185" s="211"/>
      <c r="C185" s="211"/>
      <c r="D185" s="211"/>
      <c r="E185" s="6">
        <v>5</v>
      </c>
      <c r="F185" s="16">
        <f>+H171</f>
        <v>47.07</v>
      </c>
      <c r="G185" s="6">
        <v>2</v>
      </c>
      <c r="H185" s="65">
        <f>+H184</f>
        <v>47.015000000000001</v>
      </c>
      <c r="I185" s="10">
        <f>+I184</f>
        <v>80</v>
      </c>
      <c r="J185" s="19">
        <f t="shared" si="443"/>
        <v>6.8749999999999649E-4</v>
      </c>
      <c r="K185" s="10">
        <f>+K184</f>
        <v>948</v>
      </c>
      <c r="L185" s="16">
        <f t="shared" si="444"/>
        <v>13.275700000000001</v>
      </c>
      <c r="M185" s="34">
        <f t="shared" si="459"/>
        <v>1.32757E-2</v>
      </c>
      <c r="N185" s="34">
        <f t="shared" si="360"/>
        <v>0.2133114641997132</v>
      </c>
      <c r="O185" s="34">
        <f t="shared" si="361"/>
        <v>8.3980891417209929</v>
      </c>
      <c r="P185" s="59">
        <f t="shared" si="362"/>
        <v>10</v>
      </c>
      <c r="Q185" s="55">
        <f>IF(O185&gt;0,VLOOKUP(P185,'$ alcantarillado'!$I$5:$L$22,4,FALSE),"0")</f>
        <v>0.22700000000000001</v>
      </c>
      <c r="R185" s="47">
        <f t="shared" si="363"/>
        <v>1.5670704607542094E-2</v>
      </c>
      <c r="S185" s="35">
        <f t="shared" si="364"/>
        <v>0.84716675685473575</v>
      </c>
      <c r="T185" s="58">
        <f>+IF(S185&gt;$B$13,VLOOKUP(P185,'$ alcantarillado'!$I$6:$N$22,5),P185)</f>
        <v>10</v>
      </c>
      <c r="U185" s="55">
        <f>IF(O185&gt;0,VLOOKUP(T185,'$ alcantarillado'!$I$5:$L$22,4),"0")</f>
        <v>0.22700000000000001</v>
      </c>
      <c r="V185" s="55">
        <f t="shared" si="365"/>
        <v>1.5670704607542094E-2</v>
      </c>
      <c r="W185" s="35">
        <f t="shared" si="472"/>
        <v>0.84716675685473575</v>
      </c>
      <c r="X185" s="35">
        <f t="shared" si="460"/>
        <v>0.38721032428702501</v>
      </c>
      <c r="Y185" s="55">
        <f>IF(T185&gt;0,(VLOOKUP($W185,Relaciones!$A$4:$D$108,2)),"")</f>
        <v>0.997</v>
      </c>
      <c r="Z185" s="35">
        <f t="shared" si="461"/>
        <v>0.38604869331416392</v>
      </c>
      <c r="AA185" s="35">
        <f t="shared" si="462"/>
        <v>3.9015624999999804E-2</v>
      </c>
      <c r="AB185" s="46" t="str">
        <f t="shared" si="463"/>
        <v>OK</v>
      </c>
      <c r="AC185" s="46" t="str">
        <f t="shared" si="464"/>
        <v>No Cumple</v>
      </c>
      <c r="AD185" s="46" t="str">
        <f t="shared" si="465"/>
        <v>No Cumple</v>
      </c>
      <c r="AE185" s="48">
        <f t="shared" si="466"/>
        <v>1</v>
      </c>
      <c r="AF185" s="48">
        <f t="shared" si="466"/>
        <v>0</v>
      </c>
      <c r="AG185" s="48">
        <f t="shared" si="466"/>
        <v>0</v>
      </c>
      <c r="AH185" s="48">
        <f t="shared" si="467"/>
        <v>1</v>
      </c>
      <c r="AI185" s="46">
        <f t="shared" si="468"/>
        <v>0</v>
      </c>
      <c r="AJ185" s="22">
        <f>IF(AI185&gt;0,I185*VLOOKUP(T185,'$ alcantarillado'!$I$6:$K$22,3),0)</f>
        <v>0</v>
      </c>
      <c r="AK185" s="20">
        <f t="shared" si="441"/>
        <v>0</v>
      </c>
      <c r="AL185" s="20">
        <f t="shared" si="442"/>
        <v>0</v>
      </c>
      <c r="AM185" s="22">
        <f t="shared" si="455"/>
        <v>0</v>
      </c>
      <c r="AN185" s="82">
        <f>+AP171</f>
        <v>6023328.248666672</v>
      </c>
      <c r="AO185" s="79" t="str">
        <f t="shared" si="469"/>
        <v/>
      </c>
      <c r="AP185" s="224"/>
      <c r="AQ185" s="10"/>
      <c r="AR185" s="11"/>
    </row>
    <row r="186" spans="1:44" x14ac:dyDescent="0.25">
      <c r="A186" s="211"/>
      <c r="B186" s="211"/>
      <c r="C186" s="211"/>
      <c r="D186" s="211"/>
      <c r="E186" s="4">
        <v>1</v>
      </c>
      <c r="F186" s="7">
        <f>+H151</f>
        <v>47.57</v>
      </c>
      <c r="G186" s="4">
        <v>3</v>
      </c>
      <c r="H186" s="7">
        <f>+'LOGIKA AN-1'!H181</f>
        <v>46.89</v>
      </c>
      <c r="I186" s="7">
        <f t="shared" ref="I186" si="473">+I185</f>
        <v>80</v>
      </c>
      <c r="J186" s="18">
        <f>+(F186-H186)/I186</f>
        <v>8.4999999999999971E-3</v>
      </c>
      <c r="K186" s="7">
        <f t="shared" ref="K186" si="474">+K185</f>
        <v>948</v>
      </c>
      <c r="L186" s="14">
        <f>IF(K186&lt;38,K186^0.3686*0.7401,IF(K186&lt;235,K186^0.4193*0.6215,IF(K186&lt;932,K186*0.0092+4.2493,K186*0.0069+6.7345)))</f>
        <v>13.275700000000001</v>
      </c>
      <c r="M186" s="31">
        <f>+L186/1000</f>
        <v>1.32757E-2</v>
      </c>
      <c r="N186" s="31">
        <f t="shared" si="360"/>
        <v>0.13311799873800181</v>
      </c>
      <c r="O186" s="31">
        <f t="shared" si="361"/>
        <v>5.240866092047316</v>
      </c>
      <c r="P186" s="57">
        <f t="shared" si="362"/>
        <v>6</v>
      </c>
      <c r="Q186" s="60">
        <f>IF(O186&gt;0,VLOOKUP(P186,'$ alcantarillado'!$I$5:$L$22,4,FALSE),"0")</f>
        <v>0.14499999999999999</v>
      </c>
      <c r="R186" s="60">
        <f t="shared" si="363"/>
        <v>1.6675314080657526E-2</v>
      </c>
      <c r="S186" s="27">
        <f t="shared" si="364"/>
        <v>0.79612893261177631</v>
      </c>
      <c r="T186" s="57">
        <f>+IF(S186&gt;$B$13,VLOOKUP(P186,'$ alcantarillado'!$I$6:$N$22,5),P186)</f>
        <v>6</v>
      </c>
      <c r="U186" s="60">
        <f>IF(O186&gt;0,VLOOKUP(T186,'$ alcantarillado'!$I$5:$L$22,4),"0")</f>
        <v>0.14499999999999999</v>
      </c>
      <c r="V186" s="60">
        <f t="shared" si="365"/>
        <v>1.6675314080657526E-2</v>
      </c>
      <c r="W186" s="27">
        <f t="shared" si="472"/>
        <v>0.79612893261177631</v>
      </c>
      <c r="X186" s="27">
        <f>IF(T186&gt;0,4*V186/(PI()*(U186)^2),"")</f>
        <v>1.0098296936205584</v>
      </c>
      <c r="Y186" s="60">
        <f>IF(T186&gt;0,(VLOOKUP($W186,Relaciones!$A$4:$D$108,2)),"")</f>
        <v>0.98</v>
      </c>
      <c r="Z186" s="27">
        <f>IF(T186&gt;0,Y186*X186,"")</f>
        <v>0.98963309974814717</v>
      </c>
      <c r="AA186" s="27">
        <f>IF(T186&gt;0,250*U186*J186,"")</f>
        <v>0.30812499999999987</v>
      </c>
      <c r="AB186" s="45" t="str">
        <f>IF(T186&gt;0,IF(W186&lt;=$B$13,"OK","No Cumple"),"")</f>
        <v>OK</v>
      </c>
      <c r="AC186" s="45" t="str">
        <f>IF(T186&gt;0,IF(Z186&gt;=$B$12,"OK","No Cumple"),"")</f>
        <v>OK</v>
      </c>
      <c r="AD186" s="45" t="str">
        <f>IF(T186&gt;0,IF(AA186&gt;$B$14,"OK","No Cumple"),"")</f>
        <v>OK</v>
      </c>
      <c r="AE186" s="32">
        <f>+IF(AB186="OK",1,0)</f>
        <v>1</v>
      </c>
      <c r="AF186" s="32">
        <f>+IF(AC186="OK",1,0)</f>
        <v>1</v>
      </c>
      <c r="AG186" s="32">
        <f>+IF(AD186="OK",1,0)</f>
        <v>1</v>
      </c>
      <c r="AH186" s="32">
        <f>SUM(AE186:AG186)</f>
        <v>3</v>
      </c>
      <c r="AI186" s="45">
        <f>IF(AH186=3,2*$B$7+U186,0)</f>
        <v>0.64500000000000002</v>
      </c>
      <c r="AJ186" s="21">
        <f>IF(AI186&gt;0,I186*VLOOKUP(T186,'$ alcantarillado'!$I$6:$K$22,3),0)</f>
        <v>1912173.3333333335</v>
      </c>
      <c r="AK186" s="61">
        <f t="shared" si="441"/>
        <v>2570454.0000000042</v>
      </c>
      <c r="AL186" s="61">
        <f t="shared" si="442"/>
        <v>1113279.6950000019</v>
      </c>
      <c r="AM186" s="21">
        <f>IF(AJ186&gt;0,AJ186+AK186+AL186,0)</f>
        <v>5595907.0283333398</v>
      </c>
      <c r="AN186" s="81">
        <f>IF(AP151&gt;0,+AP151,0)</f>
        <v>0</v>
      </c>
      <c r="AO186" s="77" t="str">
        <f>IF((AM186)&gt;0,IF(AN186&gt;0,AM186+AN186,""),"")</f>
        <v/>
      </c>
      <c r="AP186" s="213">
        <f>+MIN(AO186:AO190)</f>
        <v>12886686.997333344</v>
      </c>
      <c r="AQ186" s="7"/>
      <c r="AR186" s="8"/>
    </row>
    <row r="187" spans="1:44" x14ac:dyDescent="0.25">
      <c r="A187" s="211"/>
      <c r="B187" s="211"/>
      <c r="C187" s="211"/>
      <c r="D187" s="211"/>
      <c r="E187" s="5">
        <v>2</v>
      </c>
      <c r="F187" s="2">
        <f>+H156</f>
        <v>47.445</v>
      </c>
      <c r="G187" s="5">
        <v>3</v>
      </c>
      <c r="H187" s="2">
        <f>+H186</f>
        <v>46.89</v>
      </c>
      <c r="I187" s="2">
        <f>+I186</f>
        <v>80</v>
      </c>
      <c r="J187" s="18">
        <f t="shared" si="443"/>
        <v>6.9374999999999966E-3</v>
      </c>
      <c r="K187" s="2">
        <f>+K186</f>
        <v>948</v>
      </c>
      <c r="L187" s="15">
        <f t="shared" si="444"/>
        <v>13.275700000000001</v>
      </c>
      <c r="M187" s="33">
        <f t="shared" ref="M187:M190" si="475">+L187/1000</f>
        <v>1.32757E-2</v>
      </c>
      <c r="N187" s="33">
        <f t="shared" si="360"/>
        <v>0.13828569818226932</v>
      </c>
      <c r="O187" s="33">
        <f t="shared" si="361"/>
        <v>5.4443188260735953</v>
      </c>
      <c r="P187" s="58">
        <f t="shared" si="362"/>
        <v>6</v>
      </c>
      <c r="Q187" s="55">
        <f>IF(O187&gt;0,VLOOKUP(P187,'$ alcantarillado'!$I$5:$L$22,4,FALSE),"0")</f>
        <v>0.14499999999999999</v>
      </c>
      <c r="R187" s="55">
        <f t="shared" si="363"/>
        <v>1.5064893223453581E-2</v>
      </c>
      <c r="S187" s="35">
        <f t="shared" si="364"/>
        <v>0.88123425789250864</v>
      </c>
      <c r="T187" s="58">
        <f>+IF(S187&gt;$B$13,VLOOKUP(P187,'$ alcantarillado'!$I$6:$N$22,5),P187)</f>
        <v>8</v>
      </c>
      <c r="U187" s="55">
        <f>IF(O187&gt;0,VLOOKUP(T187,'$ alcantarillado'!$I$5:$L$22,4),"0")</f>
        <v>0.182</v>
      </c>
      <c r="V187" s="55">
        <f t="shared" si="365"/>
        <v>2.7616910119140928E-2</v>
      </c>
      <c r="W187" s="35">
        <f t="shared" si="472"/>
        <v>0.48070909970477765</v>
      </c>
      <c r="X187" s="35">
        <f t="shared" ref="X187:X190" si="476">IF(T187&gt;0,4*V187/(PI()*(U187)^2),"")</f>
        <v>1.0615548263219086</v>
      </c>
      <c r="Y187" s="55">
        <f>IF(T187&gt;0,(VLOOKUP($W187,Relaciones!$A$4:$D$108,2)),"")</f>
        <v>0.84</v>
      </c>
      <c r="Z187" s="35">
        <f t="shared" ref="Z187:Z190" si="477">IF(T187&gt;0,Y187*X187,"")</f>
        <v>0.89170605411040316</v>
      </c>
      <c r="AA187" s="35">
        <f t="shared" ref="AA187:AA190" si="478">IF(T187&gt;0,250*U187*J187,"")</f>
        <v>0.31565624999999986</v>
      </c>
      <c r="AB187" s="46" t="str">
        <f t="shared" ref="AB187:AB190" si="479">IF(T187&gt;0,IF(W187&lt;=$B$13,"OK","No Cumple"),"")</f>
        <v>OK</v>
      </c>
      <c r="AC187" s="46" t="str">
        <f t="shared" ref="AC187:AC190" si="480">IF(T187&gt;0,IF(Z187&gt;=$B$12,"OK","No Cumple"),"")</f>
        <v>OK</v>
      </c>
      <c r="AD187" s="46" t="str">
        <f t="shared" ref="AD187:AD190" si="481">IF(T187&gt;0,IF(AA187&gt;$B$14,"OK","No Cumple"),"")</f>
        <v>OK</v>
      </c>
      <c r="AE187" s="48">
        <f t="shared" ref="AE187:AG190" si="482">+IF(AB187="OK",1,0)</f>
        <v>1</v>
      </c>
      <c r="AF187" s="48">
        <f t="shared" si="482"/>
        <v>1</v>
      </c>
      <c r="AG187" s="48">
        <f t="shared" si="482"/>
        <v>1</v>
      </c>
      <c r="AH187" s="48">
        <f t="shared" ref="AH187:AH190" si="483">SUM(AE187:AG187)</f>
        <v>3</v>
      </c>
      <c r="AI187" s="46">
        <f t="shared" ref="AI187:AI190" si="484">IF(AH187=3,2*$B$7+U187,0)</f>
        <v>0.68199999999999994</v>
      </c>
      <c r="AJ187" s="20">
        <f>IF(AI187&gt;0,I187*VLOOKUP(T187,'$ alcantarillado'!$I$6:$K$22,3),0)</f>
        <v>2654586.666666667</v>
      </c>
      <c r="AK187" s="20">
        <f t="shared" si="441"/>
        <v>2895171.8400000031</v>
      </c>
      <c r="AL187" s="20">
        <f t="shared" si="442"/>
        <v>1226352.6170000019</v>
      </c>
      <c r="AM187" s="20">
        <f t="shared" si="455"/>
        <v>6776111.123666672</v>
      </c>
      <c r="AN187" s="80">
        <f>+AP156</f>
        <v>0</v>
      </c>
      <c r="AO187" s="78" t="str">
        <f t="shared" ref="AO187:AO190" si="485">IF((AM187)&gt;0,IF(AN187&gt;0,AM187+AN187,""),"")</f>
        <v/>
      </c>
      <c r="AP187" s="214"/>
      <c r="AQ187" s="2"/>
      <c r="AR187" s="9"/>
    </row>
    <row r="188" spans="1:44" x14ac:dyDescent="0.25">
      <c r="A188" s="211"/>
      <c r="B188" s="211"/>
      <c r="C188" s="211"/>
      <c r="D188" s="211"/>
      <c r="E188" s="56">
        <v>3</v>
      </c>
      <c r="F188" s="2">
        <f>+H161</f>
        <v>47.32</v>
      </c>
      <c r="G188" s="56">
        <v>3</v>
      </c>
      <c r="H188" s="2">
        <f t="shared" ref="H188:I189" si="486">+H187</f>
        <v>46.89</v>
      </c>
      <c r="I188" s="2">
        <f t="shared" si="486"/>
        <v>80</v>
      </c>
      <c r="J188" s="18">
        <f t="shared" si="443"/>
        <v>5.3749999999999961E-3</v>
      </c>
      <c r="K188" s="2">
        <f t="shared" ref="K188:K189" si="487">+K187</f>
        <v>948</v>
      </c>
      <c r="L188" s="15">
        <f t="shared" si="444"/>
        <v>13.275700000000001</v>
      </c>
      <c r="M188" s="33">
        <f t="shared" si="475"/>
        <v>1.32757E-2</v>
      </c>
      <c r="N188" s="33">
        <f t="shared" si="360"/>
        <v>0.1450630704499157</v>
      </c>
      <c r="O188" s="33">
        <f t="shared" si="361"/>
        <v>5.711144505902193</v>
      </c>
      <c r="P188" s="58">
        <f t="shared" si="362"/>
        <v>6</v>
      </c>
      <c r="Q188" s="55">
        <f>IF(O188&gt;0,VLOOKUP(P188,'$ alcantarillado'!$I$5:$L$22,4,FALSE),"0")</f>
        <v>0.14499999999999999</v>
      </c>
      <c r="R188" s="55">
        <f t="shared" si="363"/>
        <v>1.3260313570181519E-2</v>
      </c>
      <c r="S188" s="35">
        <f t="shared" si="364"/>
        <v>1.0011603368002608</v>
      </c>
      <c r="T188" s="58">
        <f>+IF(S188&gt;$B$13,VLOOKUP(P188,'$ alcantarillado'!$I$6:$N$22,5),P188)</f>
        <v>8</v>
      </c>
      <c r="U188" s="55">
        <f>IF(O188&gt;0,VLOOKUP(T188,'$ alcantarillado'!$I$5:$L$22,4),"0")</f>
        <v>0.182</v>
      </c>
      <c r="V188" s="55">
        <f t="shared" si="365"/>
        <v>2.4308760944232927E-2</v>
      </c>
      <c r="W188" s="35">
        <f t="shared" si="472"/>
        <v>0.54612820581254518</v>
      </c>
      <c r="X188" s="35">
        <f t="shared" si="476"/>
        <v>0.9343942675314284</v>
      </c>
      <c r="Y188" s="55">
        <f>IF(T188&gt;0,(VLOOKUP($W188,Relaciones!$A$4:$D$108,2)),"")</f>
        <v>0.87</v>
      </c>
      <c r="Z188" s="35">
        <f t="shared" si="477"/>
        <v>0.81292301275234269</v>
      </c>
      <c r="AA188" s="35">
        <f t="shared" si="478"/>
        <v>0.24456249999999982</v>
      </c>
      <c r="AB188" s="46" t="str">
        <f t="shared" si="479"/>
        <v>OK</v>
      </c>
      <c r="AC188" s="46" t="str">
        <f t="shared" si="480"/>
        <v>OK</v>
      </c>
      <c r="AD188" s="46" t="str">
        <f t="shared" si="481"/>
        <v>OK</v>
      </c>
      <c r="AE188" s="48">
        <f t="shared" si="482"/>
        <v>1</v>
      </c>
      <c r="AF188" s="48">
        <f t="shared" si="482"/>
        <v>1</v>
      </c>
      <c r="AG188" s="48">
        <f t="shared" si="482"/>
        <v>1</v>
      </c>
      <c r="AH188" s="48">
        <f t="shared" si="483"/>
        <v>3</v>
      </c>
      <c r="AI188" s="46">
        <f t="shared" si="484"/>
        <v>0.68199999999999994</v>
      </c>
      <c r="AJ188" s="20">
        <f>IF(AI188&gt;0,I188*VLOOKUP(T188,'$ alcantarillado'!$I$6:$K$22,3),0)</f>
        <v>2654586.666666667</v>
      </c>
      <c r="AK188" s="20">
        <f t="shared" si="441"/>
        <v>3017931.8400000036</v>
      </c>
      <c r="AL188" s="20">
        <f t="shared" si="442"/>
        <v>1313600.2420000019</v>
      </c>
      <c r="AM188" s="20">
        <f t="shared" si="455"/>
        <v>6986118.748666672</v>
      </c>
      <c r="AN188" s="80">
        <f>+AP161</f>
        <v>5900568.248666672</v>
      </c>
      <c r="AO188" s="78">
        <f t="shared" si="485"/>
        <v>12886686.997333344</v>
      </c>
      <c r="AP188" s="215"/>
      <c r="AQ188" s="2"/>
      <c r="AR188" s="9"/>
    </row>
    <row r="189" spans="1:44" x14ac:dyDescent="0.25">
      <c r="A189" s="211"/>
      <c r="B189" s="211"/>
      <c r="C189" s="211"/>
      <c r="D189" s="211"/>
      <c r="E189" s="56">
        <v>4</v>
      </c>
      <c r="F189" s="2">
        <f>+H166</f>
        <v>47.195</v>
      </c>
      <c r="G189" s="56">
        <v>3</v>
      </c>
      <c r="H189" s="2">
        <f t="shared" si="486"/>
        <v>46.89</v>
      </c>
      <c r="I189" s="2">
        <f t="shared" si="486"/>
        <v>80</v>
      </c>
      <c r="J189" s="18">
        <f>+(F189-H189)/I189</f>
        <v>3.8124999999999964E-3</v>
      </c>
      <c r="K189" s="2">
        <f t="shared" si="487"/>
        <v>948</v>
      </c>
      <c r="L189" s="15">
        <f t="shared" si="444"/>
        <v>13.275700000000001</v>
      </c>
      <c r="M189" s="33">
        <f t="shared" si="475"/>
        <v>1.32757E-2</v>
      </c>
      <c r="N189" s="33">
        <f t="shared" si="360"/>
        <v>0.15471270563132869</v>
      </c>
      <c r="O189" s="33">
        <f t="shared" si="361"/>
        <v>6.0910514028082163</v>
      </c>
      <c r="P189" s="58">
        <f t="shared" si="362"/>
        <v>8</v>
      </c>
      <c r="Q189" s="55">
        <f>IF(O189&gt;0,VLOOKUP(P189,'$ alcantarillado'!$I$5:$L$22,4,FALSE),"0")</f>
        <v>0.182</v>
      </c>
      <c r="R189" s="55">
        <f t="shared" si="363"/>
        <v>2.0472859906691582E-2</v>
      </c>
      <c r="S189" s="35">
        <f t="shared" si="364"/>
        <v>0.64845361422420611</v>
      </c>
      <c r="T189" s="58">
        <f>+IF(S189&gt;$B$13,VLOOKUP(P189,'$ alcantarillado'!$I$6:$N$22,5),P189)</f>
        <v>8</v>
      </c>
      <c r="U189" s="55">
        <f>IF(O189&gt;0,VLOOKUP(T189,'$ alcantarillado'!$I$5:$L$22,4),"0")</f>
        <v>0.182</v>
      </c>
      <c r="V189" s="55">
        <f t="shared" si="365"/>
        <v>2.0472859906691582E-2</v>
      </c>
      <c r="W189" s="35">
        <f t="shared" si="472"/>
        <v>0.64845361422420611</v>
      </c>
      <c r="X189" s="35">
        <f t="shared" si="476"/>
        <v>0.78694767621732742</v>
      </c>
      <c r="Y189" s="55">
        <f>IF(T189&gt;0,(VLOOKUP($W189,Relaciones!$A$4:$D$108,2)),"")</f>
        <v>0.91800000000000004</v>
      </c>
      <c r="Z189" s="35">
        <f t="shared" si="477"/>
        <v>0.72241796676750658</v>
      </c>
      <c r="AA189" s="35">
        <f t="shared" si="478"/>
        <v>0.17346874999999984</v>
      </c>
      <c r="AB189" s="46" t="str">
        <f t="shared" si="479"/>
        <v>OK</v>
      </c>
      <c r="AC189" s="46" t="str">
        <f t="shared" si="480"/>
        <v>OK</v>
      </c>
      <c r="AD189" s="46" t="str">
        <f t="shared" si="481"/>
        <v>OK</v>
      </c>
      <c r="AE189" s="48">
        <f t="shared" si="482"/>
        <v>1</v>
      </c>
      <c r="AF189" s="48">
        <f t="shared" si="482"/>
        <v>1</v>
      </c>
      <c r="AG189" s="48">
        <f t="shared" si="482"/>
        <v>1</v>
      </c>
      <c r="AH189" s="48">
        <f t="shared" si="483"/>
        <v>3</v>
      </c>
      <c r="AI189" s="46">
        <f t="shared" si="484"/>
        <v>0.68199999999999994</v>
      </c>
      <c r="AJ189" s="20">
        <f>IF(AI189&gt;0,I189*VLOOKUP(T189,'$ alcantarillado'!$I$6:$K$22,3),0)</f>
        <v>2654586.666666667</v>
      </c>
      <c r="AK189" s="20">
        <f t="shared" si="441"/>
        <v>3140691.8400000036</v>
      </c>
      <c r="AL189" s="20">
        <f t="shared" si="442"/>
        <v>1400847.8670000019</v>
      </c>
      <c r="AM189" s="20">
        <f t="shared" si="455"/>
        <v>7196126.373666672</v>
      </c>
      <c r="AN189" s="80">
        <f>+AP166</f>
        <v>5961948.248666672</v>
      </c>
      <c r="AO189" s="78">
        <f t="shared" si="485"/>
        <v>13158074.622333344</v>
      </c>
      <c r="AP189" s="215"/>
      <c r="AQ189" s="2">
        <v>3</v>
      </c>
      <c r="AR189" s="9">
        <v>3</v>
      </c>
    </row>
    <row r="190" spans="1:44" ht="15.75" thickBot="1" x14ac:dyDescent="0.3">
      <c r="A190" s="211"/>
      <c r="B190" s="211"/>
      <c r="C190" s="211"/>
      <c r="D190" s="211"/>
      <c r="E190" s="6">
        <v>5</v>
      </c>
      <c r="F190" s="16">
        <f>+H171</f>
        <v>47.07</v>
      </c>
      <c r="G190" s="6">
        <v>3</v>
      </c>
      <c r="H190" s="10">
        <f>+H189</f>
        <v>46.89</v>
      </c>
      <c r="I190" s="10">
        <f>+I189</f>
        <v>80</v>
      </c>
      <c r="J190" s="19">
        <f t="shared" si="443"/>
        <v>2.2499999999999964E-3</v>
      </c>
      <c r="K190" s="10">
        <f>+K189</f>
        <v>948</v>
      </c>
      <c r="L190" s="16">
        <f t="shared" si="444"/>
        <v>13.275700000000001</v>
      </c>
      <c r="M190" s="34">
        <f t="shared" si="475"/>
        <v>1.32757E-2</v>
      </c>
      <c r="N190" s="34">
        <f t="shared" si="360"/>
        <v>0.1707924255640231</v>
      </c>
      <c r="O190" s="34">
        <f t="shared" si="361"/>
        <v>6.7241112426780756</v>
      </c>
      <c r="P190" s="59">
        <f t="shared" si="362"/>
        <v>8</v>
      </c>
      <c r="Q190" s="55">
        <f>IF(O190&gt;0,VLOOKUP(P190,'$ alcantarillado'!$I$5:$L$22,4,FALSE),"0")</f>
        <v>0.182</v>
      </c>
      <c r="R190" s="47">
        <f t="shared" si="363"/>
        <v>1.5727686634536414E-2</v>
      </c>
      <c r="S190" s="35">
        <f t="shared" si="364"/>
        <v>0.84409743838918438</v>
      </c>
      <c r="T190" s="58">
        <f>+IF(S190&gt;$B$13,VLOOKUP(P190,'$ alcantarillado'!$I$6:$N$22,5),P190)</f>
        <v>8</v>
      </c>
      <c r="U190" s="55">
        <f>IF(O190&gt;0,VLOOKUP(T190,'$ alcantarillado'!$I$5:$L$22,4),"0")</f>
        <v>0.182</v>
      </c>
      <c r="V190" s="55">
        <f t="shared" si="365"/>
        <v>1.5727686634536414E-2</v>
      </c>
      <c r="W190" s="35">
        <f t="shared" si="472"/>
        <v>0.84409743838918438</v>
      </c>
      <c r="X190" s="35">
        <f t="shared" si="476"/>
        <v>0.60454995079985652</v>
      </c>
      <c r="Y190" s="55">
        <f>IF(T190&gt;0,(VLOOKUP($W190,Relaciones!$A$4:$D$108,2)),"")</f>
        <v>0.997</v>
      </c>
      <c r="Z190" s="35">
        <f t="shared" si="477"/>
        <v>0.60273630094745689</v>
      </c>
      <c r="AA190" s="35">
        <f t="shared" si="478"/>
        <v>0.10237499999999984</v>
      </c>
      <c r="AB190" s="46" t="str">
        <f t="shared" si="479"/>
        <v>OK</v>
      </c>
      <c r="AC190" s="46" t="str">
        <f t="shared" si="480"/>
        <v>OK</v>
      </c>
      <c r="AD190" s="46" t="str">
        <f t="shared" si="481"/>
        <v>No Cumple</v>
      </c>
      <c r="AE190" s="48">
        <f t="shared" si="482"/>
        <v>1</v>
      </c>
      <c r="AF190" s="48">
        <f t="shared" si="482"/>
        <v>1</v>
      </c>
      <c r="AG190" s="48">
        <f t="shared" si="482"/>
        <v>0</v>
      </c>
      <c r="AH190" s="48">
        <f t="shared" si="483"/>
        <v>2</v>
      </c>
      <c r="AI190" s="46">
        <f t="shared" si="484"/>
        <v>0</v>
      </c>
      <c r="AJ190" s="22">
        <f>IF(AI190&gt;0,I190*VLOOKUP(T190,'$ alcantarillado'!$I$6:$K$22,3),0)</f>
        <v>0</v>
      </c>
      <c r="AK190" s="20">
        <f t="shared" si="441"/>
        <v>0</v>
      </c>
      <c r="AL190" s="20">
        <f t="shared" si="442"/>
        <v>0</v>
      </c>
      <c r="AM190" s="22">
        <f t="shared" si="455"/>
        <v>0</v>
      </c>
      <c r="AN190" s="82">
        <f>+AP171</f>
        <v>6023328.248666672</v>
      </c>
      <c r="AO190" s="79" t="str">
        <f t="shared" si="485"/>
        <v/>
      </c>
      <c r="AP190" s="216"/>
      <c r="AQ190" s="10"/>
      <c r="AR190" s="11"/>
    </row>
    <row r="191" spans="1:44" x14ac:dyDescent="0.25">
      <c r="A191" s="211"/>
      <c r="B191" s="211"/>
      <c r="C191" s="211"/>
      <c r="D191" s="211"/>
      <c r="E191" s="4">
        <v>1</v>
      </c>
      <c r="F191" s="7">
        <f>+H151</f>
        <v>47.57</v>
      </c>
      <c r="G191" s="4">
        <v>4</v>
      </c>
      <c r="H191" s="14">
        <f>+H186-$B$15</f>
        <v>46.765000000000001</v>
      </c>
      <c r="I191" s="12">
        <f>+I186</f>
        <v>80</v>
      </c>
      <c r="J191" s="18">
        <f>+(F191-H191)/I191</f>
        <v>1.0062499999999997E-2</v>
      </c>
      <c r="K191" s="12">
        <f>+K186</f>
        <v>948</v>
      </c>
      <c r="L191" s="14">
        <f>IF(K191&lt;38,K191^0.3686*0.7401,IF(K191&lt;235,K191^0.4193*0.6215,IF(K191&lt;932,K191*0.0092+4.2493,K191*0.0069+6.7345)))</f>
        <v>13.275700000000001</v>
      </c>
      <c r="M191" s="31">
        <f>+L191/1000</f>
        <v>1.32757E-2</v>
      </c>
      <c r="N191" s="31">
        <f t="shared" si="360"/>
        <v>0.12897201154864099</v>
      </c>
      <c r="O191" s="31">
        <f t="shared" si="361"/>
        <v>5.0776382499464958</v>
      </c>
      <c r="P191" s="57">
        <f t="shared" si="362"/>
        <v>6</v>
      </c>
      <c r="Q191" s="60">
        <f>IF(O191&gt;0,VLOOKUP(P191,'$ alcantarillado'!$I$5:$L$22,4,FALSE),"0")</f>
        <v>0.14499999999999999</v>
      </c>
      <c r="R191" s="60">
        <f t="shared" si="363"/>
        <v>1.8143351166283826E-2</v>
      </c>
      <c r="S191" s="27">
        <f t="shared" si="364"/>
        <v>0.73171157182199698</v>
      </c>
      <c r="T191" s="57">
        <f>+IF(S191&gt;$B$13,VLOOKUP(P191,'$ alcantarillado'!$I$6:$N$22,5),P191)</f>
        <v>6</v>
      </c>
      <c r="U191" s="60">
        <f>IF(O191&gt;0,VLOOKUP(T191,'$ alcantarillado'!$I$5:$L$22,4),"0")</f>
        <v>0.14499999999999999</v>
      </c>
      <c r="V191" s="60">
        <f t="shared" si="365"/>
        <v>1.8143351166283826E-2</v>
      </c>
      <c r="W191" s="27">
        <f t="shared" si="472"/>
        <v>0.73171157182199698</v>
      </c>
      <c r="X191" s="27">
        <f>IF(T191&gt;0,4*V191/(PI()*(U191)^2),"")</f>
        <v>1.0987316137421832</v>
      </c>
      <c r="Y191" s="60">
        <f>IF(T191&gt;0,(VLOOKUP($W191,Relaciones!$A$4:$D$108,2)),"")</f>
        <v>0.95799999999999996</v>
      </c>
      <c r="Z191" s="27">
        <f>IF(T191&gt;0,Y191*X191,"")</f>
        <v>1.0525848859650115</v>
      </c>
      <c r="AA191" s="27">
        <f>IF(T191&gt;0,250*U191*J191,"")</f>
        <v>0.36476562499999987</v>
      </c>
      <c r="AB191" s="45" t="str">
        <f>IF(T191&gt;0,IF(W191&lt;=$B$13,"OK","No Cumple"),"")</f>
        <v>OK</v>
      </c>
      <c r="AC191" s="45" t="str">
        <f>IF(T191&gt;0,IF(Z191&gt;=$B$12,"OK","No Cumple"),"")</f>
        <v>OK</v>
      </c>
      <c r="AD191" s="45" t="str">
        <f>IF(T191&gt;0,IF(AA191&gt;$B$14,"OK","No Cumple"),"")</f>
        <v>OK</v>
      </c>
      <c r="AE191" s="32">
        <f>+IF(AB191="OK",1,0)</f>
        <v>1</v>
      </c>
      <c r="AF191" s="32">
        <f>+IF(AC191="OK",1,0)</f>
        <v>1</v>
      </c>
      <c r="AG191" s="32">
        <f>+IF(AD191="OK",1,0)</f>
        <v>1</v>
      </c>
      <c r="AH191" s="32">
        <f>SUM(AE191:AG191)</f>
        <v>3</v>
      </c>
      <c r="AI191" s="45">
        <f>IF(AH191=3,2*$B$7+U191,0)</f>
        <v>0.64500000000000002</v>
      </c>
      <c r="AJ191" s="21">
        <f>IF(AI191&gt;0,I191*VLOOKUP(T191,'$ alcantarillado'!$I$6:$K$22,3),0)</f>
        <v>1912173.3333333335</v>
      </c>
      <c r="AK191" s="61">
        <f t="shared" si="441"/>
        <v>2628504.0000000047</v>
      </c>
      <c r="AL191" s="61">
        <f t="shared" si="442"/>
        <v>1113279.6950000019</v>
      </c>
      <c r="AM191" s="21">
        <f>IF(AJ191&gt;0,AJ191+AK191+AL191,0)</f>
        <v>5653957.0283333398</v>
      </c>
      <c r="AN191" s="81">
        <f>IF(AP151&gt;0,+AP151,0)</f>
        <v>0</v>
      </c>
      <c r="AO191" s="77" t="str">
        <f>IF((AM191)&gt;0,IF(AN191&gt;0,AM191+AN191,""),"")</f>
        <v/>
      </c>
      <c r="AP191" s="213">
        <f>+MIN(AO191:AO195)</f>
        <v>12948066.997333346</v>
      </c>
      <c r="AQ191" s="7"/>
      <c r="AR191" s="8"/>
    </row>
    <row r="192" spans="1:44" x14ac:dyDescent="0.25">
      <c r="A192" s="211"/>
      <c r="B192" s="211"/>
      <c r="C192" s="211"/>
      <c r="D192" s="211"/>
      <c r="E192" s="5">
        <v>2</v>
      </c>
      <c r="F192" s="2">
        <f>+H156</f>
        <v>47.445</v>
      </c>
      <c r="G192" s="5">
        <v>4</v>
      </c>
      <c r="H192" s="15">
        <f>+H191</f>
        <v>46.765000000000001</v>
      </c>
      <c r="I192" s="2">
        <f>+I191</f>
        <v>80</v>
      </c>
      <c r="J192" s="18">
        <f t="shared" si="443"/>
        <v>8.4999999999999971E-3</v>
      </c>
      <c r="K192" s="2">
        <f>+K191</f>
        <v>948</v>
      </c>
      <c r="L192" s="15">
        <f t="shared" si="444"/>
        <v>13.275700000000001</v>
      </c>
      <c r="M192" s="33">
        <f t="shared" ref="M192:M195" si="488">+L192/1000</f>
        <v>1.32757E-2</v>
      </c>
      <c r="N192" s="33">
        <f t="shared" si="360"/>
        <v>0.13311799873800181</v>
      </c>
      <c r="O192" s="33">
        <f t="shared" si="361"/>
        <v>5.240866092047316</v>
      </c>
      <c r="P192" s="58">
        <f t="shared" si="362"/>
        <v>6</v>
      </c>
      <c r="Q192" s="55">
        <f>IF(O192&gt;0,VLOOKUP(P192,'$ alcantarillado'!$I$5:$L$22,4,FALSE),"0")</f>
        <v>0.14499999999999999</v>
      </c>
      <c r="R192" s="55">
        <f t="shared" si="363"/>
        <v>1.6675314080657526E-2</v>
      </c>
      <c r="S192" s="35">
        <f t="shared" si="364"/>
        <v>0.79612893261177631</v>
      </c>
      <c r="T192" s="58">
        <f>+IF(S192&gt;$B$13,VLOOKUP(P192,'$ alcantarillado'!$I$6:$N$22,5),P192)</f>
        <v>6</v>
      </c>
      <c r="U192" s="55">
        <f>IF(O192&gt;0,VLOOKUP(T192,'$ alcantarillado'!$I$5:$L$22,4),"0")</f>
        <v>0.14499999999999999</v>
      </c>
      <c r="V192" s="55">
        <f t="shared" si="365"/>
        <v>1.6675314080657526E-2</v>
      </c>
      <c r="W192" s="35">
        <f t="shared" si="472"/>
        <v>0.79612893261177631</v>
      </c>
      <c r="X192" s="35">
        <f t="shared" ref="X192:X195" si="489">IF(T192&gt;0,4*V192/(PI()*(U192)^2),"")</f>
        <v>1.0098296936205584</v>
      </c>
      <c r="Y192" s="55">
        <f>IF(T192&gt;0,(VLOOKUP($W192,Relaciones!$A$4:$D$108,2)),"")</f>
        <v>0.98</v>
      </c>
      <c r="Z192" s="35">
        <f t="shared" ref="Z192:Z195" si="490">IF(T192&gt;0,Y192*X192,"")</f>
        <v>0.98963309974814717</v>
      </c>
      <c r="AA192" s="35">
        <f t="shared" ref="AA192:AA195" si="491">IF(T192&gt;0,250*U192*J192,"")</f>
        <v>0.30812499999999987</v>
      </c>
      <c r="AB192" s="46" t="str">
        <f t="shared" ref="AB192:AB195" si="492">IF(T192&gt;0,IF(W192&lt;=$B$13,"OK","No Cumple"),"")</f>
        <v>OK</v>
      </c>
      <c r="AC192" s="46" t="str">
        <f t="shared" ref="AC192:AC195" si="493">IF(T192&gt;0,IF(Z192&gt;=$B$12,"OK","No Cumple"),"")</f>
        <v>OK</v>
      </c>
      <c r="AD192" s="46" t="str">
        <f t="shared" ref="AD192:AD195" si="494">IF(T192&gt;0,IF(AA192&gt;$B$14,"OK","No Cumple"),"")</f>
        <v>OK</v>
      </c>
      <c r="AE192" s="48">
        <f t="shared" ref="AE192:AG195" si="495">+IF(AB192="OK",1,0)</f>
        <v>1</v>
      </c>
      <c r="AF192" s="48">
        <f t="shared" si="495"/>
        <v>1</v>
      </c>
      <c r="AG192" s="48">
        <f t="shared" si="495"/>
        <v>1</v>
      </c>
      <c r="AH192" s="48">
        <f t="shared" ref="AH192:AH195" si="496">SUM(AE192:AG192)</f>
        <v>3</v>
      </c>
      <c r="AI192" s="46">
        <f t="shared" ref="AI192:AI195" si="497">IF(AH192=3,2*$B$7+U192,0)</f>
        <v>0.64500000000000002</v>
      </c>
      <c r="AJ192" s="20">
        <f>IF(AI192&gt;0,I192*VLOOKUP(T192,'$ alcantarillado'!$I$6:$K$22,3),0)</f>
        <v>1912173.3333333335</v>
      </c>
      <c r="AK192" s="20">
        <f t="shared" si="441"/>
        <v>2744604.0000000042</v>
      </c>
      <c r="AL192" s="20">
        <f t="shared" si="442"/>
        <v>1200527.3200000019</v>
      </c>
      <c r="AM192" s="20">
        <f t="shared" si="455"/>
        <v>5857304.6533333398</v>
      </c>
      <c r="AN192" s="80">
        <f>+AP156</f>
        <v>0</v>
      </c>
      <c r="AO192" s="78" t="str">
        <f t="shared" ref="AO192:AO195" si="498">IF((AM192)&gt;0,IF(AN192&gt;0,AM192+AN192,""),"")</f>
        <v/>
      </c>
      <c r="AP192" s="214"/>
      <c r="AQ192" s="2"/>
      <c r="AR192" s="9"/>
    </row>
    <row r="193" spans="1:44" x14ac:dyDescent="0.25">
      <c r="A193" s="211"/>
      <c r="B193" s="211"/>
      <c r="C193" s="211"/>
      <c r="D193" s="211"/>
      <c r="E193" s="56">
        <v>3</v>
      </c>
      <c r="F193" s="2">
        <f>+H161</f>
        <v>47.32</v>
      </c>
      <c r="G193" s="56">
        <v>4</v>
      </c>
      <c r="H193" s="15">
        <f t="shared" ref="H193:I194" si="499">+H192</f>
        <v>46.765000000000001</v>
      </c>
      <c r="I193" s="2">
        <f t="shared" si="499"/>
        <v>80</v>
      </c>
      <c r="J193" s="18">
        <f t="shared" si="443"/>
        <v>6.9374999999999966E-3</v>
      </c>
      <c r="K193" s="2">
        <f t="shared" ref="K193:K194" si="500">+K192</f>
        <v>948</v>
      </c>
      <c r="L193" s="15">
        <f t="shared" si="444"/>
        <v>13.275700000000001</v>
      </c>
      <c r="M193" s="33">
        <f t="shared" si="488"/>
        <v>1.32757E-2</v>
      </c>
      <c r="N193" s="33">
        <f t="shared" si="360"/>
        <v>0.13828569818226932</v>
      </c>
      <c r="O193" s="33">
        <f t="shared" si="361"/>
        <v>5.4443188260735953</v>
      </c>
      <c r="P193" s="58">
        <f t="shared" si="362"/>
        <v>6</v>
      </c>
      <c r="Q193" s="55">
        <f>IF(O193&gt;0,VLOOKUP(P193,'$ alcantarillado'!$I$5:$L$22,4,FALSE),"0")</f>
        <v>0.14499999999999999</v>
      </c>
      <c r="R193" s="55">
        <f t="shared" si="363"/>
        <v>1.5064893223453581E-2</v>
      </c>
      <c r="S193" s="35">
        <f t="shared" si="364"/>
        <v>0.88123425789250864</v>
      </c>
      <c r="T193" s="58">
        <f>+IF(S193&gt;$B$13,VLOOKUP(P193,'$ alcantarillado'!$I$6:$N$22,5),P193)</f>
        <v>8</v>
      </c>
      <c r="U193" s="55">
        <f>IF(O193&gt;0,VLOOKUP(T193,'$ alcantarillado'!$I$5:$L$22,4),"0")</f>
        <v>0.182</v>
      </c>
      <c r="V193" s="55">
        <f t="shared" si="365"/>
        <v>2.7616910119140928E-2</v>
      </c>
      <c r="W193" s="35">
        <f t="shared" si="472"/>
        <v>0.48070909970477765</v>
      </c>
      <c r="X193" s="35">
        <f t="shared" si="489"/>
        <v>1.0615548263219086</v>
      </c>
      <c r="Y193" s="55">
        <f>IF(T193&gt;0,(VLOOKUP($W193,Relaciones!$A$4:$D$108,2)),"")</f>
        <v>0.84</v>
      </c>
      <c r="Z193" s="35">
        <f t="shared" si="490"/>
        <v>0.89170605411040316</v>
      </c>
      <c r="AA193" s="35">
        <f t="shared" si="491"/>
        <v>0.31565624999999986</v>
      </c>
      <c r="AB193" s="46" t="str">
        <f t="shared" si="492"/>
        <v>OK</v>
      </c>
      <c r="AC193" s="46" t="str">
        <f t="shared" si="493"/>
        <v>OK</v>
      </c>
      <c r="AD193" s="46" t="str">
        <f t="shared" si="494"/>
        <v>OK</v>
      </c>
      <c r="AE193" s="48">
        <f t="shared" si="495"/>
        <v>1</v>
      </c>
      <c r="AF193" s="48">
        <f t="shared" si="495"/>
        <v>1</v>
      </c>
      <c r="AG193" s="48">
        <f t="shared" si="495"/>
        <v>1</v>
      </c>
      <c r="AH193" s="48">
        <f t="shared" si="496"/>
        <v>3</v>
      </c>
      <c r="AI193" s="46">
        <f t="shared" si="497"/>
        <v>0.68199999999999994</v>
      </c>
      <c r="AJ193" s="20">
        <f>IF(AI193&gt;0,I193*VLOOKUP(T193,'$ alcantarillado'!$I$6:$K$22,3),0)</f>
        <v>2654586.666666667</v>
      </c>
      <c r="AK193" s="20">
        <f t="shared" si="441"/>
        <v>3079311.840000004</v>
      </c>
      <c r="AL193" s="20">
        <f t="shared" si="442"/>
        <v>1313600.2420000019</v>
      </c>
      <c r="AM193" s="20">
        <f t="shared" si="455"/>
        <v>7047498.7486666739</v>
      </c>
      <c r="AN193" s="80">
        <f>+AP161</f>
        <v>5900568.248666672</v>
      </c>
      <c r="AO193" s="78">
        <f t="shared" si="498"/>
        <v>12948066.997333346</v>
      </c>
      <c r="AP193" s="215"/>
      <c r="AQ193" s="2">
        <v>3</v>
      </c>
      <c r="AR193" s="9">
        <v>4</v>
      </c>
    </row>
    <row r="194" spans="1:44" x14ac:dyDescent="0.25">
      <c r="A194" s="211"/>
      <c r="B194" s="211"/>
      <c r="C194" s="211"/>
      <c r="D194" s="211"/>
      <c r="E194" s="56">
        <v>4</v>
      </c>
      <c r="F194" s="2">
        <f>+H166</f>
        <v>47.195</v>
      </c>
      <c r="G194" s="56">
        <v>4</v>
      </c>
      <c r="H194" s="15">
        <f t="shared" si="499"/>
        <v>46.765000000000001</v>
      </c>
      <c r="I194" s="2">
        <f t="shared" si="499"/>
        <v>80</v>
      </c>
      <c r="J194" s="18">
        <f>+(F194-H194)/I194</f>
        <v>5.3749999999999961E-3</v>
      </c>
      <c r="K194" s="2">
        <f t="shared" si="500"/>
        <v>948</v>
      </c>
      <c r="L194" s="15">
        <f t="shared" si="444"/>
        <v>13.275700000000001</v>
      </c>
      <c r="M194" s="33">
        <f t="shared" si="488"/>
        <v>1.32757E-2</v>
      </c>
      <c r="N194" s="33">
        <f t="shared" si="360"/>
        <v>0.1450630704499157</v>
      </c>
      <c r="O194" s="33">
        <f t="shared" si="361"/>
        <v>5.711144505902193</v>
      </c>
      <c r="P194" s="58">
        <f t="shared" si="362"/>
        <v>6</v>
      </c>
      <c r="Q194" s="55">
        <f>IF(O194&gt;0,VLOOKUP(P194,'$ alcantarillado'!$I$5:$L$22,4,FALSE),"0")</f>
        <v>0.14499999999999999</v>
      </c>
      <c r="R194" s="55">
        <f t="shared" si="363"/>
        <v>1.3260313570181519E-2</v>
      </c>
      <c r="S194" s="35">
        <f t="shared" si="364"/>
        <v>1.0011603368002608</v>
      </c>
      <c r="T194" s="58">
        <f>+IF(S194&gt;$B$13,VLOOKUP(P194,'$ alcantarillado'!$I$6:$N$22,5),P194)</f>
        <v>8</v>
      </c>
      <c r="U194" s="55">
        <f>IF(O194&gt;0,VLOOKUP(T194,'$ alcantarillado'!$I$5:$L$22,4),"0")</f>
        <v>0.182</v>
      </c>
      <c r="V194" s="55">
        <f t="shared" si="365"/>
        <v>2.4308760944232927E-2</v>
      </c>
      <c r="W194" s="35">
        <f t="shared" si="472"/>
        <v>0.54612820581254518</v>
      </c>
      <c r="X194" s="35">
        <f t="shared" si="489"/>
        <v>0.9343942675314284</v>
      </c>
      <c r="Y194" s="55">
        <f>IF(T194&gt;0,(VLOOKUP($W194,Relaciones!$A$4:$D$108,2)),"")</f>
        <v>0.87</v>
      </c>
      <c r="Z194" s="35">
        <f t="shared" si="490"/>
        <v>0.81292301275234269</v>
      </c>
      <c r="AA194" s="35">
        <f t="shared" si="491"/>
        <v>0.24456249999999982</v>
      </c>
      <c r="AB194" s="46" t="str">
        <f t="shared" si="492"/>
        <v>OK</v>
      </c>
      <c r="AC194" s="46" t="str">
        <f t="shared" si="493"/>
        <v>OK</v>
      </c>
      <c r="AD194" s="46" t="str">
        <f t="shared" si="494"/>
        <v>OK</v>
      </c>
      <c r="AE194" s="48">
        <f t="shared" si="495"/>
        <v>1</v>
      </c>
      <c r="AF194" s="48">
        <f t="shared" si="495"/>
        <v>1</v>
      </c>
      <c r="AG194" s="48">
        <f t="shared" si="495"/>
        <v>1</v>
      </c>
      <c r="AH194" s="48">
        <f t="shared" si="496"/>
        <v>3</v>
      </c>
      <c r="AI194" s="46">
        <f t="shared" si="497"/>
        <v>0.68199999999999994</v>
      </c>
      <c r="AJ194" s="20">
        <f>IF(AI194&gt;0,I194*VLOOKUP(T194,'$ alcantarillado'!$I$6:$K$22,3),0)</f>
        <v>2654586.666666667</v>
      </c>
      <c r="AK194" s="20">
        <f t="shared" si="441"/>
        <v>3202071.840000004</v>
      </c>
      <c r="AL194" s="20">
        <f t="shared" si="442"/>
        <v>1400847.8670000019</v>
      </c>
      <c r="AM194" s="20">
        <f t="shared" si="455"/>
        <v>7257506.3736666739</v>
      </c>
      <c r="AN194" s="80">
        <f>+AP166</f>
        <v>5961948.248666672</v>
      </c>
      <c r="AO194" s="78">
        <f t="shared" si="498"/>
        <v>13219454.622333346</v>
      </c>
      <c r="AP194" s="215"/>
      <c r="AQ194" s="2"/>
      <c r="AR194" s="9"/>
    </row>
    <row r="195" spans="1:44" ht="15.75" thickBot="1" x14ac:dyDescent="0.3">
      <c r="A195" s="211"/>
      <c r="B195" s="211"/>
      <c r="C195" s="211"/>
      <c r="D195" s="211"/>
      <c r="E195" s="6">
        <v>5</v>
      </c>
      <c r="F195" s="16">
        <f>+H171</f>
        <v>47.07</v>
      </c>
      <c r="G195" s="6">
        <v>4</v>
      </c>
      <c r="H195" s="16">
        <f>+H194</f>
        <v>46.765000000000001</v>
      </c>
      <c r="I195" s="10">
        <f>+I194</f>
        <v>80</v>
      </c>
      <c r="J195" s="19">
        <f t="shared" si="443"/>
        <v>3.8124999999999964E-3</v>
      </c>
      <c r="K195" s="10">
        <f>+K194</f>
        <v>948</v>
      </c>
      <c r="L195" s="16">
        <f t="shared" si="444"/>
        <v>13.275700000000001</v>
      </c>
      <c r="M195" s="34">
        <f t="shared" si="488"/>
        <v>1.32757E-2</v>
      </c>
      <c r="N195" s="34">
        <f t="shared" si="360"/>
        <v>0.15471270563132869</v>
      </c>
      <c r="O195" s="34">
        <f t="shared" si="361"/>
        <v>6.0910514028082163</v>
      </c>
      <c r="P195" s="59">
        <f t="shared" si="362"/>
        <v>8</v>
      </c>
      <c r="Q195" s="55">
        <f>IF(O195&gt;0,VLOOKUP(P195,'$ alcantarillado'!$I$5:$L$22,4,FALSE),"0")</f>
        <v>0.182</v>
      </c>
      <c r="R195" s="47">
        <f t="shared" si="363"/>
        <v>2.0472859906691582E-2</v>
      </c>
      <c r="S195" s="35">
        <f t="shared" si="364"/>
        <v>0.64845361422420611</v>
      </c>
      <c r="T195" s="58">
        <f>+IF(S195&gt;$B$13,VLOOKUP(P195,'$ alcantarillado'!$I$6:$N$22,5),P195)</f>
        <v>8</v>
      </c>
      <c r="U195" s="55">
        <f>IF(O195&gt;0,VLOOKUP(T195,'$ alcantarillado'!$I$5:$L$22,4),"0")</f>
        <v>0.182</v>
      </c>
      <c r="V195" s="55">
        <f t="shared" si="365"/>
        <v>2.0472859906691582E-2</v>
      </c>
      <c r="W195" s="35">
        <f t="shared" si="472"/>
        <v>0.64845361422420611</v>
      </c>
      <c r="X195" s="35">
        <f t="shared" si="489"/>
        <v>0.78694767621732742</v>
      </c>
      <c r="Y195" s="55">
        <f>IF(T195&gt;0,(VLOOKUP($W195,Relaciones!$A$4:$D$108,2)),"")</f>
        <v>0.91800000000000004</v>
      </c>
      <c r="Z195" s="35">
        <f t="shared" si="490"/>
        <v>0.72241796676750658</v>
      </c>
      <c r="AA195" s="35">
        <f t="shared" si="491"/>
        <v>0.17346874999999984</v>
      </c>
      <c r="AB195" s="46" t="str">
        <f t="shared" si="492"/>
        <v>OK</v>
      </c>
      <c r="AC195" s="46" t="str">
        <f t="shared" si="493"/>
        <v>OK</v>
      </c>
      <c r="AD195" s="46" t="str">
        <f t="shared" si="494"/>
        <v>OK</v>
      </c>
      <c r="AE195" s="48">
        <f t="shared" si="495"/>
        <v>1</v>
      </c>
      <c r="AF195" s="48">
        <f t="shared" si="495"/>
        <v>1</v>
      </c>
      <c r="AG195" s="48">
        <f t="shared" si="495"/>
        <v>1</v>
      </c>
      <c r="AH195" s="48">
        <f t="shared" si="496"/>
        <v>3</v>
      </c>
      <c r="AI195" s="46">
        <f t="shared" si="497"/>
        <v>0.68199999999999994</v>
      </c>
      <c r="AJ195" s="22">
        <f>IF(AI195&gt;0,I195*VLOOKUP(T195,'$ alcantarillado'!$I$6:$K$22,3),0)</f>
        <v>2654586.666666667</v>
      </c>
      <c r="AK195" s="20">
        <f t="shared" si="441"/>
        <v>3324831.8400000031</v>
      </c>
      <c r="AL195" s="20">
        <f t="shared" si="442"/>
        <v>1488095.4920000019</v>
      </c>
      <c r="AM195" s="22">
        <f t="shared" si="455"/>
        <v>7467513.998666672</v>
      </c>
      <c r="AN195" s="82">
        <f>+AP171</f>
        <v>6023328.248666672</v>
      </c>
      <c r="AO195" s="79">
        <f t="shared" si="498"/>
        <v>13490842.247333344</v>
      </c>
      <c r="AP195" s="216"/>
      <c r="AQ195" s="10"/>
      <c r="AR195" s="11"/>
    </row>
    <row r="196" spans="1:44" x14ac:dyDescent="0.25">
      <c r="A196" s="211"/>
      <c r="B196" s="211"/>
      <c r="C196" s="211"/>
      <c r="D196" s="211"/>
      <c r="E196" s="4">
        <v>1</v>
      </c>
      <c r="F196" s="7">
        <f>+H151</f>
        <v>47.57</v>
      </c>
      <c r="G196" s="4">
        <v>5</v>
      </c>
      <c r="H196" s="14">
        <f>+H186-2*$B$15</f>
        <v>46.64</v>
      </c>
      <c r="I196" s="54">
        <f>+I191</f>
        <v>80</v>
      </c>
      <c r="J196" s="17">
        <f>+(F196-H196)/I196</f>
        <v>1.1624999999999996E-2</v>
      </c>
      <c r="K196" s="54">
        <f>+K191</f>
        <v>948</v>
      </c>
      <c r="L196" s="14">
        <f>IF(K196&lt;38,K196^0.3686*0.7401,IF(K196&lt;235,K196^0.4193*0.6215,IF(K196&lt;932,K196*0.0092+4.2493,K196*0.0069+6.7345)))</f>
        <v>13.275700000000001</v>
      </c>
      <c r="M196" s="31">
        <f>+L196/1000</f>
        <v>1.32757E-2</v>
      </c>
      <c r="N196" s="31">
        <f t="shared" si="360"/>
        <v>0.1255283002556522</v>
      </c>
      <c r="O196" s="31">
        <f t="shared" si="361"/>
        <v>4.942059065183158</v>
      </c>
      <c r="P196" s="57">
        <f t="shared" si="362"/>
        <v>6</v>
      </c>
      <c r="Q196" s="60">
        <f>IF(O196&gt;0,VLOOKUP(P196,'$ alcantarillado'!$I$5:$L$22,4,FALSE),"0")</f>
        <v>0.14499999999999999</v>
      </c>
      <c r="R196" s="60">
        <f t="shared" si="363"/>
        <v>1.9501186717674649E-2</v>
      </c>
      <c r="S196" s="27">
        <f t="shared" si="364"/>
        <v>0.68076369875315024</v>
      </c>
      <c r="T196" s="57">
        <f>+IF(S196&gt;$B$13,VLOOKUP(P196,'$ alcantarillado'!$I$6:$N$22,5),P196)</f>
        <v>6</v>
      </c>
      <c r="U196" s="60">
        <f>IF(O196&gt;0,VLOOKUP(T196,'$ alcantarillado'!$I$5:$L$22,4),"0")</f>
        <v>0.14499999999999999</v>
      </c>
      <c r="V196" s="60">
        <f t="shared" si="365"/>
        <v>1.9501186717674649E-2</v>
      </c>
      <c r="W196" s="27">
        <f t="shared" si="472"/>
        <v>0.68076369875315024</v>
      </c>
      <c r="X196" s="27">
        <f>IF(T196&gt;0,4*V196/(PI()*(U196)^2),"")</f>
        <v>1.1809599095461343</v>
      </c>
      <c r="Y196" s="60">
        <f>IF(T196&gt;0,(VLOOKUP($W196,Relaciones!$A$4:$D$108,2)),"")</f>
        <v>0.93600000000000005</v>
      </c>
      <c r="Z196" s="27">
        <f>IF(T196&gt;0,Y196*X196,"")</f>
        <v>1.1053784753351819</v>
      </c>
      <c r="AA196" s="27">
        <f>IF(T196&gt;0,250*U196*J196,"")</f>
        <v>0.42140624999999987</v>
      </c>
      <c r="AB196" s="45" t="str">
        <f>IF(T196&gt;0,IF(W196&lt;=$B$13,"OK","No Cumple"),"")</f>
        <v>OK</v>
      </c>
      <c r="AC196" s="45" t="str">
        <f>IF(T196&gt;0,IF(Z196&gt;=$B$12,"OK","No Cumple"),"")</f>
        <v>OK</v>
      </c>
      <c r="AD196" s="45" t="str">
        <f>IF(T196&gt;0,IF(AA196&gt;$B$14,"OK","No Cumple"),"")</f>
        <v>OK</v>
      </c>
      <c r="AE196" s="32">
        <f>+IF(AB196="OK",1,0)</f>
        <v>1</v>
      </c>
      <c r="AF196" s="32">
        <f>+IF(AC196="OK",1,0)</f>
        <v>1</v>
      </c>
      <c r="AG196" s="32">
        <f>+IF(AD196="OK",1,0)</f>
        <v>1</v>
      </c>
      <c r="AH196" s="32">
        <f>SUM(AE196:AG196)</f>
        <v>3</v>
      </c>
      <c r="AI196" s="45">
        <f>IF(AH196=3,2*$B$7+U196,0)</f>
        <v>0.64500000000000002</v>
      </c>
      <c r="AJ196" s="21">
        <f>IF(AI196&gt;0,I196*VLOOKUP(T196,'$ alcantarillado'!$I$6:$K$22,3),0)</f>
        <v>1912173.3333333335</v>
      </c>
      <c r="AK196" s="61">
        <f t="shared" si="441"/>
        <v>2686554.0000000042</v>
      </c>
      <c r="AL196" s="61">
        <f t="shared" si="442"/>
        <v>1113279.6950000019</v>
      </c>
      <c r="AM196" s="21">
        <f>IF(AJ196&gt;0,AJ196+AK196+AL196,0)</f>
        <v>5712007.0283333398</v>
      </c>
      <c r="AN196" s="81">
        <f>IF(AP151&gt;0,+AP151,0)</f>
        <v>0</v>
      </c>
      <c r="AO196" s="77" t="str">
        <f>IF((AM196)&gt;0,IF(AN196&gt;0,AM196+AN196,""),"")</f>
        <v/>
      </c>
      <c r="AP196" s="213">
        <f>+MIN(AO196:AO200)</f>
        <v>12019270.527000012</v>
      </c>
      <c r="AQ196" s="7"/>
      <c r="AR196" s="8"/>
    </row>
    <row r="197" spans="1:44" x14ac:dyDescent="0.25">
      <c r="A197" s="211"/>
      <c r="B197" s="211"/>
      <c r="C197" s="211"/>
      <c r="D197" s="211"/>
      <c r="E197" s="5">
        <v>2</v>
      </c>
      <c r="F197" s="2">
        <f>+H156</f>
        <v>47.445</v>
      </c>
      <c r="G197" s="5">
        <v>5</v>
      </c>
      <c r="H197" s="15">
        <f>+H196</f>
        <v>46.64</v>
      </c>
      <c r="I197" s="2">
        <f>+I196</f>
        <v>80</v>
      </c>
      <c r="J197" s="18">
        <f t="shared" si="443"/>
        <v>1.0062499999999997E-2</v>
      </c>
      <c r="K197" s="2">
        <f>+K196</f>
        <v>948</v>
      </c>
      <c r="L197" s="15">
        <f t="shared" si="444"/>
        <v>13.275700000000001</v>
      </c>
      <c r="M197" s="33">
        <f t="shared" ref="M197:M200" si="501">+L197/1000</f>
        <v>1.32757E-2</v>
      </c>
      <c r="N197" s="33">
        <f t="shared" si="360"/>
        <v>0.12897201154864099</v>
      </c>
      <c r="O197" s="33">
        <f t="shared" si="361"/>
        <v>5.0776382499464958</v>
      </c>
      <c r="P197" s="58">
        <f t="shared" si="362"/>
        <v>6</v>
      </c>
      <c r="Q197" s="55">
        <f>IF(O197&gt;0,VLOOKUP(P197,'$ alcantarillado'!$I$5:$L$22,4,FALSE),"0")</f>
        <v>0.14499999999999999</v>
      </c>
      <c r="R197" s="55">
        <f t="shared" si="363"/>
        <v>1.8143351166283826E-2</v>
      </c>
      <c r="S197" s="35">
        <f t="shared" si="364"/>
        <v>0.73171157182199698</v>
      </c>
      <c r="T197" s="58">
        <f>+IF(S197&gt;$B$13,VLOOKUP(P197,'$ alcantarillado'!$I$6:$N$22,5),P197)</f>
        <v>6</v>
      </c>
      <c r="U197" s="55">
        <f>IF(O197&gt;0,VLOOKUP(T197,'$ alcantarillado'!$I$5:$L$22,4),"0")</f>
        <v>0.14499999999999999</v>
      </c>
      <c r="V197" s="55">
        <f t="shared" si="365"/>
        <v>1.8143351166283826E-2</v>
      </c>
      <c r="W197" s="35">
        <f t="shared" si="472"/>
        <v>0.73171157182199698</v>
      </c>
      <c r="X197" s="35">
        <f t="shared" ref="X197:X200" si="502">IF(T197&gt;0,4*V197/(PI()*(U197)^2),"")</f>
        <v>1.0987316137421832</v>
      </c>
      <c r="Y197" s="55">
        <f>IF(T197&gt;0,(VLOOKUP($W197,Relaciones!$A$4:$D$108,2)),"")</f>
        <v>0.95799999999999996</v>
      </c>
      <c r="Z197" s="35">
        <f t="shared" ref="Z197:Z200" si="503">IF(T197&gt;0,Y197*X197,"")</f>
        <v>1.0525848859650115</v>
      </c>
      <c r="AA197" s="35">
        <f t="shared" ref="AA197:AA200" si="504">IF(T197&gt;0,250*U197*J197,"")</f>
        <v>0.36476562499999987</v>
      </c>
      <c r="AB197" s="46" t="str">
        <f t="shared" ref="AB197:AB200" si="505">IF(T197&gt;0,IF(W197&lt;=$B$13,"OK","No Cumple"),"")</f>
        <v>OK</v>
      </c>
      <c r="AC197" s="46" t="str">
        <f t="shared" ref="AC197:AC200" si="506">IF(T197&gt;0,IF(Z197&gt;=$B$12,"OK","No Cumple"),"")</f>
        <v>OK</v>
      </c>
      <c r="AD197" s="46" t="str">
        <f t="shared" ref="AD197:AD200" si="507">IF(T197&gt;0,IF(AA197&gt;$B$14,"OK","No Cumple"),"")</f>
        <v>OK</v>
      </c>
      <c r="AE197" s="48">
        <f t="shared" ref="AE197:AG200" si="508">+IF(AB197="OK",1,0)</f>
        <v>1</v>
      </c>
      <c r="AF197" s="48">
        <f t="shared" si="508"/>
        <v>1</v>
      </c>
      <c r="AG197" s="48">
        <f t="shared" si="508"/>
        <v>1</v>
      </c>
      <c r="AH197" s="48">
        <f t="shared" ref="AH197:AH200" si="509">SUM(AE197:AG197)</f>
        <v>3</v>
      </c>
      <c r="AI197" s="46">
        <f t="shared" ref="AI197:AI200" si="510">IF(AH197=3,2*$B$7+U197,0)</f>
        <v>0.64500000000000002</v>
      </c>
      <c r="AJ197" s="20">
        <f>IF(AI197&gt;0,I197*VLOOKUP(T197,'$ alcantarillado'!$I$6:$K$22,3),0)</f>
        <v>1912173.3333333335</v>
      </c>
      <c r="AK197" s="20">
        <f t="shared" si="441"/>
        <v>2802654.0000000047</v>
      </c>
      <c r="AL197" s="20">
        <f t="shared" si="442"/>
        <v>1200527.3200000019</v>
      </c>
      <c r="AM197" s="20">
        <f t="shared" si="455"/>
        <v>5915354.6533333398</v>
      </c>
      <c r="AN197" s="80">
        <f>+AP156</f>
        <v>0</v>
      </c>
      <c r="AO197" s="78" t="str">
        <f t="shared" ref="AO197:AO200" si="511">IF((AM197)&gt;0,IF(AN197&gt;0,AM197+AN197,""),"")</f>
        <v/>
      </c>
      <c r="AP197" s="214"/>
      <c r="AQ197" s="2"/>
      <c r="AR197" s="9"/>
    </row>
    <row r="198" spans="1:44" x14ac:dyDescent="0.25">
      <c r="A198" s="211"/>
      <c r="B198" s="211"/>
      <c r="C198" s="211"/>
      <c r="D198" s="211"/>
      <c r="E198" s="56">
        <v>3</v>
      </c>
      <c r="F198" s="2">
        <f>+H161</f>
        <v>47.32</v>
      </c>
      <c r="G198" s="56">
        <v>5</v>
      </c>
      <c r="H198" s="15">
        <f t="shared" ref="H198:I199" si="512">+H197</f>
        <v>46.64</v>
      </c>
      <c r="I198" s="2">
        <f t="shared" si="512"/>
        <v>80</v>
      </c>
      <c r="J198" s="18">
        <f t="shared" si="443"/>
        <v>8.4999999999999971E-3</v>
      </c>
      <c r="K198" s="2">
        <f t="shared" ref="K198:K199" si="513">+K197</f>
        <v>948</v>
      </c>
      <c r="L198" s="15">
        <f t="shared" si="444"/>
        <v>13.275700000000001</v>
      </c>
      <c r="M198" s="33">
        <f t="shared" si="501"/>
        <v>1.32757E-2</v>
      </c>
      <c r="N198" s="33">
        <f t="shared" si="360"/>
        <v>0.13311799873800181</v>
      </c>
      <c r="O198" s="33">
        <f t="shared" si="361"/>
        <v>5.240866092047316</v>
      </c>
      <c r="P198" s="58">
        <f t="shared" si="362"/>
        <v>6</v>
      </c>
      <c r="Q198" s="55">
        <f>IF(O198&gt;0,VLOOKUP(P198,'$ alcantarillado'!$I$5:$L$22,4,FALSE),"0")</f>
        <v>0.14499999999999999</v>
      </c>
      <c r="R198" s="55">
        <f t="shared" si="363"/>
        <v>1.6675314080657526E-2</v>
      </c>
      <c r="S198" s="35">
        <f t="shared" si="364"/>
        <v>0.79612893261177631</v>
      </c>
      <c r="T198" s="58">
        <f>+IF(S198&gt;$B$13,VLOOKUP(P198,'$ alcantarillado'!$I$6:$N$22,5),P198)</f>
        <v>6</v>
      </c>
      <c r="U198" s="55">
        <f>IF(O198&gt;0,VLOOKUP(T198,'$ alcantarillado'!$I$5:$L$22,4),"0")</f>
        <v>0.14499999999999999</v>
      </c>
      <c r="V198" s="55">
        <f t="shared" si="365"/>
        <v>1.6675314080657526E-2</v>
      </c>
      <c r="W198" s="35">
        <f t="shared" si="472"/>
        <v>0.79612893261177631</v>
      </c>
      <c r="X198" s="35">
        <f t="shared" si="502"/>
        <v>1.0098296936205584</v>
      </c>
      <c r="Y198" s="55">
        <f>IF(T198&gt;0,(VLOOKUP($W198,Relaciones!$A$4:$D$108,2)),"")</f>
        <v>0.98</v>
      </c>
      <c r="Z198" s="35">
        <f t="shared" si="503"/>
        <v>0.98963309974814717</v>
      </c>
      <c r="AA198" s="35">
        <f t="shared" si="504"/>
        <v>0.30812499999999987</v>
      </c>
      <c r="AB198" s="46" t="str">
        <f t="shared" si="505"/>
        <v>OK</v>
      </c>
      <c r="AC198" s="46" t="str">
        <f t="shared" si="506"/>
        <v>OK</v>
      </c>
      <c r="AD198" s="46" t="str">
        <f t="shared" si="507"/>
        <v>OK</v>
      </c>
      <c r="AE198" s="48">
        <f t="shared" si="508"/>
        <v>1</v>
      </c>
      <c r="AF198" s="48">
        <f t="shared" si="508"/>
        <v>1</v>
      </c>
      <c r="AG198" s="48">
        <f t="shared" si="508"/>
        <v>1</v>
      </c>
      <c r="AH198" s="48">
        <f t="shared" si="509"/>
        <v>3</v>
      </c>
      <c r="AI198" s="46">
        <f t="shared" si="510"/>
        <v>0.64500000000000002</v>
      </c>
      <c r="AJ198" s="20">
        <f>IF(AI198&gt;0,I198*VLOOKUP(T198,'$ alcantarillado'!$I$6:$K$22,3),0)</f>
        <v>1912173.3333333335</v>
      </c>
      <c r="AK198" s="20">
        <f t="shared" si="441"/>
        <v>2918754.0000000047</v>
      </c>
      <c r="AL198" s="20">
        <f t="shared" si="442"/>
        <v>1287774.9450000019</v>
      </c>
      <c r="AM198" s="20">
        <f t="shared" si="455"/>
        <v>6118702.2783333398</v>
      </c>
      <c r="AN198" s="80">
        <f>+AP161</f>
        <v>5900568.248666672</v>
      </c>
      <c r="AO198" s="78">
        <f t="shared" si="511"/>
        <v>12019270.527000012</v>
      </c>
      <c r="AP198" s="215"/>
      <c r="AQ198" s="2">
        <v>3</v>
      </c>
      <c r="AR198" s="9">
        <v>5</v>
      </c>
    </row>
    <row r="199" spans="1:44" x14ac:dyDescent="0.25">
      <c r="A199" s="211"/>
      <c r="B199" s="211"/>
      <c r="C199" s="211"/>
      <c r="D199" s="211"/>
      <c r="E199" s="56">
        <v>4</v>
      </c>
      <c r="F199" s="2">
        <f>+H166</f>
        <v>47.195</v>
      </c>
      <c r="G199" s="56">
        <v>5</v>
      </c>
      <c r="H199" s="15">
        <f t="shared" si="512"/>
        <v>46.64</v>
      </c>
      <c r="I199" s="2">
        <f t="shared" si="512"/>
        <v>80</v>
      </c>
      <c r="J199" s="18">
        <f>+(F199-H199)/I199</f>
        <v>6.9374999999999966E-3</v>
      </c>
      <c r="K199" s="2">
        <f t="shared" si="513"/>
        <v>948</v>
      </c>
      <c r="L199" s="15">
        <f t="shared" si="444"/>
        <v>13.275700000000001</v>
      </c>
      <c r="M199" s="33">
        <f t="shared" si="501"/>
        <v>1.32757E-2</v>
      </c>
      <c r="N199" s="33">
        <f t="shared" si="360"/>
        <v>0.13828569818226932</v>
      </c>
      <c r="O199" s="33">
        <f t="shared" si="361"/>
        <v>5.4443188260735953</v>
      </c>
      <c r="P199" s="58">
        <f t="shared" si="362"/>
        <v>6</v>
      </c>
      <c r="Q199" s="55">
        <f>IF(O199&gt;0,VLOOKUP(P199,'$ alcantarillado'!$I$5:$L$22,4,FALSE),"0")</f>
        <v>0.14499999999999999</v>
      </c>
      <c r="R199" s="55">
        <f t="shared" si="363"/>
        <v>1.5064893223453581E-2</v>
      </c>
      <c r="S199" s="35">
        <f t="shared" si="364"/>
        <v>0.88123425789250864</v>
      </c>
      <c r="T199" s="58">
        <f>+IF(S199&gt;$B$13,VLOOKUP(P199,'$ alcantarillado'!$I$6:$N$22,5),P199)</f>
        <v>8</v>
      </c>
      <c r="U199" s="55">
        <f>IF(O199&gt;0,VLOOKUP(T199,'$ alcantarillado'!$I$5:$L$22,4),"0")</f>
        <v>0.182</v>
      </c>
      <c r="V199" s="55">
        <f t="shared" si="365"/>
        <v>2.7616910119140928E-2</v>
      </c>
      <c r="W199" s="35">
        <f t="shared" si="472"/>
        <v>0.48070909970477765</v>
      </c>
      <c r="X199" s="35">
        <f t="shared" si="502"/>
        <v>1.0615548263219086</v>
      </c>
      <c r="Y199" s="55">
        <f>IF(T199&gt;0,(VLOOKUP($W199,Relaciones!$A$4:$D$108,2)),"")</f>
        <v>0.84</v>
      </c>
      <c r="Z199" s="35">
        <f t="shared" si="503"/>
        <v>0.89170605411040316</v>
      </c>
      <c r="AA199" s="35">
        <f t="shared" si="504"/>
        <v>0.31565624999999986</v>
      </c>
      <c r="AB199" s="46" t="str">
        <f t="shared" si="505"/>
        <v>OK</v>
      </c>
      <c r="AC199" s="46" t="str">
        <f t="shared" si="506"/>
        <v>OK</v>
      </c>
      <c r="AD199" s="46" t="str">
        <f t="shared" si="507"/>
        <v>OK</v>
      </c>
      <c r="AE199" s="48">
        <f t="shared" si="508"/>
        <v>1</v>
      </c>
      <c r="AF199" s="48">
        <f t="shared" si="508"/>
        <v>1</v>
      </c>
      <c r="AG199" s="48">
        <f t="shared" si="508"/>
        <v>1</v>
      </c>
      <c r="AH199" s="48">
        <f t="shared" si="509"/>
        <v>3</v>
      </c>
      <c r="AI199" s="46">
        <f t="shared" si="510"/>
        <v>0.68199999999999994</v>
      </c>
      <c r="AJ199" s="20">
        <f>IF(AI199&gt;0,I199*VLOOKUP(T199,'$ alcantarillado'!$I$6:$K$22,3),0)</f>
        <v>2654586.666666667</v>
      </c>
      <c r="AK199" s="20">
        <f t="shared" si="441"/>
        <v>3263451.840000004</v>
      </c>
      <c r="AL199" s="20">
        <f t="shared" si="442"/>
        <v>1400847.8670000019</v>
      </c>
      <c r="AM199" s="20">
        <f t="shared" si="455"/>
        <v>7318886.3736666739</v>
      </c>
      <c r="AN199" s="80">
        <f>+AP166</f>
        <v>5961948.248666672</v>
      </c>
      <c r="AO199" s="78">
        <f t="shared" si="511"/>
        <v>13280834.622333346</v>
      </c>
      <c r="AP199" s="215"/>
      <c r="AQ199" s="2"/>
      <c r="AR199" s="9"/>
    </row>
    <row r="200" spans="1:44" ht="15.75" thickBot="1" x14ac:dyDescent="0.3">
      <c r="A200" s="212"/>
      <c r="B200" s="212"/>
      <c r="C200" s="212"/>
      <c r="D200" s="212"/>
      <c r="E200" s="6">
        <v>5</v>
      </c>
      <c r="F200" s="16">
        <f>+H171</f>
        <v>47.07</v>
      </c>
      <c r="G200" s="6">
        <v>5</v>
      </c>
      <c r="H200" s="16">
        <f>+H199</f>
        <v>46.64</v>
      </c>
      <c r="I200" s="10">
        <f>+I199</f>
        <v>80</v>
      </c>
      <c r="J200" s="19">
        <f t="shared" si="443"/>
        <v>5.3749999999999961E-3</v>
      </c>
      <c r="K200" s="10">
        <f>+K199</f>
        <v>948</v>
      </c>
      <c r="L200" s="16">
        <f t="shared" si="444"/>
        <v>13.275700000000001</v>
      </c>
      <c r="M200" s="34">
        <f t="shared" si="501"/>
        <v>1.32757E-2</v>
      </c>
      <c r="N200" s="34">
        <f t="shared" si="360"/>
        <v>0.1450630704499157</v>
      </c>
      <c r="O200" s="34">
        <f t="shared" si="361"/>
        <v>5.711144505902193</v>
      </c>
      <c r="P200" s="59">
        <f t="shared" si="362"/>
        <v>6</v>
      </c>
      <c r="Q200" s="110">
        <f>IF(O200&gt;0,VLOOKUP(P200,'$ alcantarillado'!$I$5:$L$22,4,FALSE),"0")</f>
        <v>0.14499999999999999</v>
      </c>
      <c r="R200" s="47">
        <f t="shared" si="363"/>
        <v>1.3260313570181519E-2</v>
      </c>
      <c r="S200" s="65">
        <f t="shared" si="364"/>
        <v>1.0011603368002608</v>
      </c>
      <c r="T200" s="59">
        <f>+IF(S200&gt;$B$13,VLOOKUP(P200,'$ alcantarillado'!$I$6:$N$22,5),P200)</f>
        <v>8</v>
      </c>
      <c r="U200" s="47">
        <f>IF(O200&gt;0,VLOOKUP(T200,'$ alcantarillado'!$I$5:$L$22,4),"0")</f>
        <v>0.182</v>
      </c>
      <c r="V200" s="47">
        <f t="shared" si="365"/>
        <v>2.4308760944232927E-2</v>
      </c>
      <c r="W200" s="65">
        <f t="shared" si="472"/>
        <v>0.54612820581254518</v>
      </c>
      <c r="X200" s="65">
        <f t="shared" si="502"/>
        <v>0.9343942675314284</v>
      </c>
      <c r="Y200" s="47">
        <f>IF(T200&gt;0,(VLOOKUP($W200,Relaciones!$A$4:$D$108,2)),"")</f>
        <v>0.87</v>
      </c>
      <c r="Z200" s="65">
        <f t="shared" si="503"/>
        <v>0.81292301275234269</v>
      </c>
      <c r="AA200" s="65">
        <f t="shared" si="504"/>
        <v>0.24456249999999982</v>
      </c>
      <c r="AB200" s="110" t="str">
        <f t="shared" si="505"/>
        <v>OK</v>
      </c>
      <c r="AC200" s="110" t="str">
        <f t="shared" si="506"/>
        <v>OK</v>
      </c>
      <c r="AD200" s="110" t="str">
        <f t="shared" si="507"/>
        <v>OK</v>
      </c>
      <c r="AE200" s="111">
        <f t="shared" si="508"/>
        <v>1</v>
      </c>
      <c r="AF200" s="111">
        <f t="shared" si="508"/>
        <v>1</v>
      </c>
      <c r="AG200" s="111">
        <f t="shared" si="508"/>
        <v>1</v>
      </c>
      <c r="AH200" s="111">
        <f t="shared" si="509"/>
        <v>3</v>
      </c>
      <c r="AI200" s="110">
        <f t="shared" si="510"/>
        <v>0.68199999999999994</v>
      </c>
      <c r="AJ200" s="22">
        <f>IF(AI200&gt;0,I200*VLOOKUP(T200,'$ alcantarillado'!$I$6:$K$22,3),0)</f>
        <v>2654586.666666667</v>
      </c>
      <c r="AK200" s="22">
        <f t="shared" si="441"/>
        <v>3386211.8400000036</v>
      </c>
      <c r="AL200" s="22">
        <f t="shared" si="442"/>
        <v>1488095.4920000019</v>
      </c>
      <c r="AM200" s="22">
        <f t="shared" si="455"/>
        <v>7528893.998666672</v>
      </c>
      <c r="AN200" s="82">
        <f>+AP171</f>
        <v>6023328.248666672</v>
      </c>
      <c r="AO200" s="79">
        <f t="shared" si="511"/>
        <v>13552222.247333344</v>
      </c>
      <c r="AP200" s="216"/>
      <c r="AQ200" s="109"/>
      <c r="AR200" s="11"/>
    </row>
    <row r="201" spans="1:44" x14ac:dyDescent="0.25">
      <c r="D201" s="53">
        <v>49.09</v>
      </c>
      <c r="AA201" s="2"/>
      <c r="AF201" s="2"/>
      <c r="AH201" s="2"/>
      <c r="AR201" s="2"/>
    </row>
    <row r="203" spans="1:44" x14ac:dyDescent="0.25">
      <c r="AO203">
        <f>+COUNTBLANK(AO23:AO200)</f>
        <v>102</v>
      </c>
    </row>
  </sheetData>
  <mergeCells count="99">
    <mergeCell ref="A176:A200"/>
    <mergeCell ref="B176:B200"/>
    <mergeCell ref="C176:C200"/>
    <mergeCell ref="D176:D200"/>
    <mergeCell ref="AP176:AP180"/>
    <mergeCell ref="AP181:AP185"/>
    <mergeCell ref="AP186:AP190"/>
    <mergeCell ref="AP191:AP195"/>
    <mergeCell ref="AP196:AP200"/>
    <mergeCell ref="A151:A175"/>
    <mergeCell ref="B151:B175"/>
    <mergeCell ref="C151:C175"/>
    <mergeCell ref="D151:D175"/>
    <mergeCell ref="AP151:AP155"/>
    <mergeCell ref="AP156:AP160"/>
    <mergeCell ref="AP161:AP165"/>
    <mergeCell ref="AP166:AP170"/>
    <mergeCell ref="AP171:AP175"/>
    <mergeCell ref="A123:A147"/>
    <mergeCell ref="B123:B147"/>
    <mergeCell ref="C123:C147"/>
    <mergeCell ref="D123:D147"/>
    <mergeCell ref="AP123:AP127"/>
    <mergeCell ref="AP128:AP132"/>
    <mergeCell ref="AP133:AP137"/>
    <mergeCell ref="AP138:AP142"/>
    <mergeCell ref="AP143:AP147"/>
    <mergeCell ref="A98:A122"/>
    <mergeCell ref="B98:B122"/>
    <mergeCell ref="C98:C122"/>
    <mergeCell ref="D98:D122"/>
    <mergeCell ref="AP98:AP102"/>
    <mergeCell ref="AP103:AP107"/>
    <mergeCell ref="AP108:AP112"/>
    <mergeCell ref="AP113:AP117"/>
    <mergeCell ref="AP118:AP122"/>
    <mergeCell ref="AP63:AP67"/>
    <mergeCell ref="AP68:AP72"/>
    <mergeCell ref="A73:A97"/>
    <mergeCell ref="B73:B97"/>
    <mergeCell ref="C73:C97"/>
    <mergeCell ref="D73:D97"/>
    <mergeCell ref="AP73:AP77"/>
    <mergeCell ref="AP78:AP82"/>
    <mergeCell ref="AP83:AP87"/>
    <mergeCell ref="AP88:AP92"/>
    <mergeCell ref="AP93:AP97"/>
    <mergeCell ref="AP28:AP32"/>
    <mergeCell ref="AP33:AP37"/>
    <mergeCell ref="AP38:AP42"/>
    <mergeCell ref="AP43:AP47"/>
    <mergeCell ref="A48:A72"/>
    <mergeCell ref="B48:B72"/>
    <mergeCell ref="C48:C72"/>
    <mergeCell ref="D48:D72"/>
    <mergeCell ref="AP48:AP52"/>
    <mergeCell ref="AP53:AP57"/>
    <mergeCell ref="A23:A47"/>
    <mergeCell ref="B23:B47"/>
    <mergeCell ref="C23:C47"/>
    <mergeCell ref="D23:D47"/>
    <mergeCell ref="AP23:AP27"/>
    <mergeCell ref="AP58:AP62"/>
    <mergeCell ref="AD20:AD21"/>
    <mergeCell ref="AE20:AH21"/>
    <mergeCell ref="AI20:AI21"/>
    <mergeCell ref="AJ20:AL20"/>
    <mergeCell ref="AQ20:AR20"/>
    <mergeCell ref="N20:N21"/>
    <mergeCell ref="O20:O21"/>
    <mergeCell ref="P20:P21"/>
    <mergeCell ref="AC20:AC21"/>
    <mergeCell ref="R20:R21"/>
    <mergeCell ref="S20:S21"/>
    <mergeCell ref="T20:T21"/>
    <mergeCell ref="U20:U21"/>
    <mergeCell ref="V20:V21"/>
    <mergeCell ref="W20:W21"/>
    <mergeCell ref="X20:X21"/>
    <mergeCell ref="Y20:Y21"/>
    <mergeCell ref="Z20:Z21"/>
    <mergeCell ref="AA20:AA21"/>
    <mergeCell ref="AB20:AB21"/>
    <mergeCell ref="E20:E21"/>
    <mergeCell ref="A16:AR16"/>
    <mergeCell ref="B8:C8"/>
    <mergeCell ref="A20:A22"/>
    <mergeCell ref="B20:B22"/>
    <mergeCell ref="C20:C22"/>
    <mergeCell ref="D20:D22"/>
    <mergeCell ref="Q20:Q21"/>
    <mergeCell ref="F20:F21"/>
    <mergeCell ref="G20:G21"/>
    <mergeCell ref="H20:H21"/>
    <mergeCell ref="I20:I21"/>
    <mergeCell ref="J20:J21"/>
    <mergeCell ref="K20:K21"/>
    <mergeCell ref="L20:L21"/>
    <mergeCell ref="M20:M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32767" scale="47" orientation="portrait" horizontalDpi="300" verticalDpi="300" r:id="rId1"/>
  <colBreaks count="1" manualBreakCount="1">
    <brk id="41" min="15" max="20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V37"/>
  <sheetViews>
    <sheetView view="pageBreakPreview" zoomScale="85" zoomScaleNormal="70" zoomScaleSheetLayoutView="85" workbookViewId="0">
      <selection activeCell="H2" sqref="H2:L3"/>
    </sheetView>
  </sheetViews>
  <sheetFormatPr baseColWidth="10" defaultRowHeight="15" x14ac:dyDescent="0.25"/>
  <cols>
    <col min="1" max="1" width="11.42578125" customWidth="1"/>
    <col min="2" max="2" width="11.85546875" bestFit="1" customWidth="1"/>
    <col min="3" max="3" width="16.7109375" customWidth="1"/>
    <col min="5" max="5" width="13.5703125" customWidth="1"/>
    <col min="6" max="6" width="14" customWidth="1"/>
    <col min="7" max="7" width="13.28515625" customWidth="1"/>
    <col min="8" max="8" width="26.28515625" customWidth="1"/>
    <col min="10" max="10" width="15.85546875" customWidth="1"/>
    <col min="18" max="18" width="14.85546875" customWidth="1"/>
    <col min="258" max="258" width="11.42578125" customWidth="1"/>
    <col min="259" max="259" width="11.85546875" bestFit="1" customWidth="1"/>
    <col min="260" max="260" width="16.7109375" customWidth="1"/>
    <col min="262" max="262" width="13.5703125" customWidth="1"/>
    <col min="263" max="263" width="14" customWidth="1"/>
    <col min="264" max="264" width="13.28515625" customWidth="1"/>
    <col min="267" max="267" width="15.85546875" customWidth="1"/>
    <col min="514" max="514" width="11.42578125" customWidth="1"/>
    <col min="515" max="515" width="11.85546875" bestFit="1" customWidth="1"/>
    <col min="516" max="516" width="16.7109375" customWidth="1"/>
    <col min="518" max="518" width="13.5703125" customWidth="1"/>
    <col min="519" max="519" width="14" customWidth="1"/>
    <col min="520" max="520" width="13.28515625" customWidth="1"/>
    <col min="523" max="523" width="15.85546875" customWidth="1"/>
    <col min="770" max="770" width="11.42578125" customWidth="1"/>
    <col min="771" max="771" width="11.85546875" bestFit="1" customWidth="1"/>
    <col min="772" max="772" width="16.7109375" customWidth="1"/>
    <col min="774" max="774" width="13.5703125" customWidth="1"/>
    <col min="775" max="775" width="14" customWidth="1"/>
    <col min="776" max="776" width="13.28515625" customWidth="1"/>
    <col min="779" max="779" width="15.85546875" customWidth="1"/>
    <col min="1026" max="1026" width="11.42578125" customWidth="1"/>
    <col min="1027" max="1027" width="11.85546875" bestFit="1" customWidth="1"/>
    <col min="1028" max="1028" width="16.7109375" customWidth="1"/>
    <col min="1030" max="1030" width="13.5703125" customWidth="1"/>
    <col min="1031" max="1031" width="14" customWidth="1"/>
    <col min="1032" max="1032" width="13.28515625" customWidth="1"/>
    <col min="1035" max="1035" width="15.85546875" customWidth="1"/>
    <col min="1282" max="1282" width="11.42578125" customWidth="1"/>
    <col min="1283" max="1283" width="11.85546875" bestFit="1" customWidth="1"/>
    <col min="1284" max="1284" width="16.7109375" customWidth="1"/>
    <col min="1286" max="1286" width="13.5703125" customWidth="1"/>
    <col min="1287" max="1287" width="14" customWidth="1"/>
    <col min="1288" max="1288" width="13.28515625" customWidth="1"/>
    <col min="1291" max="1291" width="15.85546875" customWidth="1"/>
    <col min="1538" max="1538" width="11.42578125" customWidth="1"/>
    <col min="1539" max="1539" width="11.85546875" bestFit="1" customWidth="1"/>
    <col min="1540" max="1540" width="16.7109375" customWidth="1"/>
    <col min="1542" max="1542" width="13.5703125" customWidth="1"/>
    <col min="1543" max="1543" width="14" customWidth="1"/>
    <col min="1544" max="1544" width="13.28515625" customWidth="1"/>
    <col min="1547" max="1547" width="15.85546875" customWidth="1"/>
    <col min="1794" max="1794" width="11.42578125" customWidth="1"/>
    <col min="1795" max="1795" width="11.85546875" bestFit="1" customWidth="1"/>
    <col min="1796" max="1796" width="16.7109375" customWidth="1"/>
    <col min="1798" max="1798" width="13.5703125" customWidth="1"/>
    <col min="1799" max="1799" width="14" customWidth="1"/>
    <col min="1800" max="1800" width="13.28515625" customWidth="1"/>
    <col min="1803" max="1803" width="15.85546875" customWidth="1"/>
    <col min="2050" max="2050" width="11.42578125" customWidth="1"/>
    <col min="2051" max="2051" width="11.85546875" bestFit="1" customWidth="1"/>
    <col min="2052" max="2052" width="16.7109375" customWidth="1"/>
    <col min="2054" max="2054" width="13.5703125" customWidth="1"/>
    <col min="2055" max="2055" width="14" customWidth="1"/>
    <col min="2056" max="2056" width="13.28515625" customWidth="1"/>
    <col min="2059" max="2059" width="15.85546875" customWidth="1"/>
    <col min="2306" max="2306" width="11.42578125" customWidth="1"/>
    <col min="2307" max="2307" width="11.85546875" bestFit="1" customWidth="1"/>
    <col min="2308" max="2308" width="16.7109375" customWidth="1"/>
    <col min="2310" max="2310" width="13.5703125" customWidth="1"/>
    <col min="2311" max="2311" width="14" customWidth="1"/>
    <col min="2312" max="2312" width="13.28515625" customWidth="1"/>
    <col min="2315" max="2315" width="15.85546875" customWidth="1"/>
    <col min="2562" max="2562" width="11.42578125" customWidth="1"/>
    <col min="2563" max="2563" width="11.85546875" bestFit="1" customWidth="1"/>
    <col min="2564" max="2564" width="16.7109375" customWidth="1"/>
    <col min="2566" max="2566" width="13.5703125" customWidth="1"/>
    <col min="2567" max="2567" width="14" customWidth="1"/>
    <col min="2568" max="2568" width="13.28515625" customWidth="1"/>
    <col min="2571" max="2571" width="15.85546875" customWidth="1"/>
    <col min="2818" max="2818" width="11.42578125" customWidth="1"/>
    <col min="2819" max="2819" width="11.85546875" bestFit="1" customWidth="1"/>
    <col min="2820" max="2820" width="16.7109375" customWidth="1"/>
    <col min="2822" max="2822" width="13.5703125" customWidth="1"/>
    <col min="2823" max="2823" width="14" customWidth="1"/>
    <col min="2824" max="2824" width="13.28515625" customWidth="1"/>
    <col min="2827" max="2827" width="15.85546875" customWidth="1"/>
    <col min="3074" max="3074" width="11.42578125" customWidth="1"/>
    <col min="3075" max="3075" width="11.85546875" bestFit="1" customWidth="1"/>
    <col min="3076" max="3076" width="16.7109375" customWidth="1"/>
    <col min="3078" max="3078" width="13.5703125" customWidth="1"/>
    <col min="3079" max="3079" width="14" customWidth="1"/>
    <col min="3080" max="3080" width="13.28515625" customWidth="1"/>
    <col min="3083" max="3083" width="15.85546875" customWidth="1"/>
    <col min="3330" max="3330" width="11.42578125" customWidth="1"/>
    <col min="3331" max="3331" width="11.85546875" bestFit="1" customWidth="1"/>
    <col min="3332" max="3332" width="16.7109375" customWidth="1"/>
    <col min="3334" max="3334" width="13.5703125" customWidth="1"/>
    <col min="3335" max="3335" width="14" customWidth="1"/>
    <col min="3336" max="3336" width="13.28515625" customWidth="1"/>
    <col min="3339" max="3339" width="15.85546875" customWidth="1"/>
    <col min="3586" max="3586" width="11.42578125" customWidth="1"/>
    <col min="3587" max="3587" width="11.85546875" bestFit="1" customWidth="1"/>
    <col min="3588" max="3588" width="16.7109375" customWidth="1"/>
    <col min="3590" max="3590" width="13.5703125" customWidth="1"/>
    <col min="3591" max="3591" width="14" customWidth="1"/>
    <col min="3592" max="3592" width="13.28515625" customWidth="1"/>
    <col min="3595" max="3595" width="15.85546875" customWidth="1"/>
    <col min="3842" max="3842" width="11.42578125" customWidth="1"/>
    <col min="3843" max="3843" width="11.85546875" bestFit="1" customWidth="1"/>
    <col min="3844" max="3844" width="16.7109375" customWidth="1"/>
    <col min="3846" max="3846" width="13.5703125" customWidth="1"/>
    <col min="3847" max="3847" width="14" customWidth="1"/>
    <col min="3848" max="3848" width="13.28515625" customWidth="1"/>
    <col min="3851" max="3851" width="15.85546875" customWidth="1"/>
    <col min="4098" max="4098" width="11.42578125" customWidth="1"/>
    <col min="4099" max="4099" width="11.85546875" bestFit="1" customWidth="1"/>
    <col min="4100" max="4100" width="16.7109375" customWidth="1"/>
    <col min="4102" max="4102" width="13.5703125" customWidth="1"/>
    <col min="4103" max="4103" width="14" customWidth="1"/>
    <col min="4104" max="4104" width="13.28515625" customWidth="1"/>
    <col min="4107" max="4107" width="15.85546875" customWidth="1"/>
    <col min="4354" max="4354" width="11.42578125" customWidth="1"/>
    <col min="4355" max="4355" width="11.85546875" bestFit="1" customWidth="1"/>
    <col min="4356" max="4356" width="16.7109375" customWidth="1"/>
    <col min="4358" max="4358" width="13.5703125" customWidth="1"/>
    <col min="4359" max="4359" width="14" customWidth="1"/>
    <col min="4360" max="4360" width="13.28515625" customWidth="1"/>
    <col min="4363" max="4363" width="15.85546875" customWidth="1"/>
    <col min="4610" max="4610" width="11.42578125" customWidth="1"/>
    <col min="4611" max="4611" width="11.85546875" bestFit="1" customWidth="1"/>
    <col min="4612" max="4612" width="16.7109375" customWidth="1"/>
    <col min="4614" max="4614" width="13.5703125" customWidth="1"/>
    <col min="4615" max="4615" width="14" customWidth="1"/>
    <col min="4616" max="4616" width="13.28515625" customWidth="1"/>
    <col min="4619" max="4619" width="15.85546875" customWidth="1"/>
    <col min="4866" max="4866" width="11.42578125" customWidth="1"/>
    <col min="4867" max="4867" width="11.85546875" bestFit="1" customWidth="1"/>
    <col min="4868" max="4868" width="16.7109375" customWidth="1"/>
    <col min="4870" max="4870" width="13.5703125" customWidth="1"/>
    <col min="4871" max="4871" width="14" customWidth="1"/>
    <col min="4872" max="4872" width="13.28515625" customWidth="1"/>
    <col min="4875" max="4875" width="15.85546875" customWidth="1"/>
    <col min="5122" max="5122" width="11.42578125" customWidth="1"/>
    <col min="5123" max="5123" width="11.85546875" bestFit="1" customWidth="1"/>
    <col min="5124" max="5124" width="16.7109375" customWidth="1"/>
    <col min="5126" max="5126" width="13.5703125" customWidth="1"/>
    <col min="5127" max="5127" width="14" customWidth="1"/>
    <col min="5128" max="5128" width="13.28515625" customWidth="1"/>
    <col min="5131" max="5131" width="15.85546875" customWidth="1"/>
    <col min="5378" max="5378" width="11.42578125" customWidth="1"/>
    <col min="5379" max="5379" width="11.85546875" bestFit="1" customWidth="1"/>
    <col min="5380" max="5380" width="16.7109375" customWidth="1"/>
    <col min="5382" max="5382" width="13.5703125" customWidth="1"/>
    <col min="5383" max="5383" width="14" customWidth="1"/>
    <col min="5384" max="5384" width="13.28515625" customWidth="1"/>
    <col min="5387" max="5387" width="15.85546875" customWidth="1"/>
    <col min="5634" max="5634" width="11.42578125" customWidth="1"/>
    <col min="5635" max="5635" width="11.85546875" bestFit="1" customWidth="1"/>
    <col min="5636" max="5636" width="16.7109375" customWidth="1"/>
    <col min="5638" max="5638" width="13.5703125" customWidth="1"/>
    <col min="5639" max="5639" width="14" customWidth="1"/>
    <col min="5640" max="5640" width="13.28515625" customWidth="1"/>
    <col min="5643" max="5643" width="15.85546875" customWidth="1"/>
    <col min="5890" max="5890" width="11.42578125" customWidth="1"/>
    <col min="5891" max="5891" width="11.85546875" bestFit="1" customWidth="1"/>
    <col min="5892" max="5892" width="16.7109375" customWidth="1"/>
    <col min="5894" max="5894" width="13.5703125" customWidth="1"/>
    <col min="5895" max="5895" width="14" customWidth="1"/>
    <col min="5896" max="5896" width="13.28515625" customWidth="1"/>
    <col min="5899" max="5899" width="15.85546875" customWidth="1"/>
    <col min="6146" max="6146" width="11.42578125" customWidth="1"/>
    <col min="6147" max="6147" width="11.85546875" bestFit="1" customWidth="1"/>
    <col min="6148" max="6148" width="16.7109375" customWidth="1"/>
    <col min="6150" max="6150" width="13.5703125" customWidth="1"/>
    <col min="6151" max="6151" width="14" customWidth="1"/>
    <col min="6152" max="6152" width="13.28515625" customWidth="1"/>
    <col min="6155" max="6155" width="15.85546875" customWidth="1"/>
    <col min="6402" max="6402" width="11.42578125" customWidth="1"/>
    <col min="6403" max="6403" width="11.85546875" bestFit="1" customWidth="1"/>
    <col min="6404" max="6404" width="16.7109375" customWidth="1"/>
    <col min="6406" max="6406" width="13.5703125" customWidth="1"/>
    <col min="6407" max="6407" width="14" customWidth="1"/>
    <col min="6408" max="6408" width="13.28515625" customWidth="1"/>
    <col min="6411" max="6411" width="15.85546875" customWidth="1"/>
    <col min="6658" max="6658" width="11.42578125" customWidth="1"/>
    <col min="6659" max="6659" width="11.85546875" bestFit="1" customWidth="1"/>
    <col min="6660" max="6660" width="16.7109375" customWidth="1"/>
    <col min="6662" max="6662" width="13.5703125" customWidth="1"/>
    <col min="6663" max="6663" width="14" customWidth="1"/>
    <col min="6664" max="6664" width="13.28515625" customWidth="1"/>
    <col min="6667" max="6667" width="15.85546875" customWidth="1"/>
    <col min="6914" max="6914" width="11.42578125" customWidth="1"/>
    <col min="6915" max="6915" width="11.85546875" bestFit="1" customWidth="1"/>
    <col min="6916" max="6916" width="16.7109375" customWidth="1"/>
    <col min="6918" max="6918" width="13.5703125" customWidth="1"/>
    <col min="6919" max="6919" width="14" customWidth="1"/>
    <col min="6920" max="6920" width="13.28515625" customWidth="1"/>
    <col min="6923" max="6923" width="15.85546875" customWidth="1"/>
    <col min="7170" max="7170" width="11.42578125" customWidth="1"/>
    <col min="7171" max="7171" width="11.85546875" bestFit="1" customWidth="1"/>
    <col min="7172" max="7172" width="16.7109375" customWidth="1"/>
    <col min="7174" max="7174" width="13.5703125" customWidth="1"/>
    <col min="7175" max="7175" width="14" customWidth="1"/>
    <col min="7176" max="7176" width="13.28515625" customWidth="1"/>
    <col min="7179" max="7179" width="15.85546875" customWidth="1"/>
    <col min="7426" max="7426" width="11.42578125" customWidth="1"/>
    <col min="7427" max="7427" width="11.85546875" bestFit="1" customWidth="1"/>
    <col min="7428" max="7428" width="16.7109375" customWidth="1"/>
    <col min="7430" max="7430" width="13.5703125" customWidth="1"/>
    <col min="7431" max="7431" width="14" customWidth="1"/>
    <col min="7432" max="7432" width="13.28515625" customWidth="1"/>
    <col min="7435" max="7435" width="15.85546875" customWidth="1"/>
    <col min="7682" max="7682" width="11.42578125" customWidth="1"/>
    <col min="7683" max="7683" width="11.85546875" bestFit="1" customWidth="1"/>
    <col min="7684" max="7684" width="16.7109375" customWidth="1"/>
    <col min="7686" max="7686" width="13.5703125" customWidth="1"/>
    <col min="7687" max="7687" width="14" customWidth="1"/>
    <col min="7688" max="7688" width="13.28515625" customWidth="1"/>
    <col min="7691" max="7691" width="15.85546875" customWidth="1"/>
    <col min="7938" max="7938" width="11.42578125" customWidth="1"/>
    <col min="7939" max="7939" width="11.85546875" bestFit="1" customWidth="1"/>
    <col min="7940" max="7940" width="16.7109375" customWidth="1"/>
    <col min="7942" max="7942" width="13.5703125" customWidth="1"/>
    <col min="7943" max="7943" width="14" customWidth="1"/>
    <col min="7944" max="7944" width="13.28515625" customWidth="1"/>
    <col min="7947" max="7947" width="15.85546875" customWidth="1"/>
    <col min="8194" max="8194" width="11.42578125" customWidth="1"/>
    <col min="8195" max="8195" width="11.85546875" bestFit="1" customWidth="1"/>
    <col min="8196" max="8196" width="16.7109375" customWidth="1"/>
    <col min="8198" max="8198" width="13.5703125" customWidth="1"/>
    <col min="8199" max="8199" width="14" customWidth="1"/>
    <col min="8200" max="8200" width="13.28515625" customWidth="1"/>
    <col min="8203" max="8203" width="15.85546875" customWidth="1"/>
    <col min="8450" max="8450" width="11.42578125" customWidth="1"/>
    <col min="8451" max="8451" width="11.85546875" bestFit="1" customWidth="1"/>
    <col min="8452" max="8452" width="16.7109375" customWidth="1"/>
    <col min="8454" max="8454" width="13.5703125" customWidth="1"/>
    <col min="8455" max="8455" width="14" customWidth="1"/>
    <col min="8456" max="8456" width="13.28515625" customWidth="1"/>
    <col min="8459" max="8459" width="15.85546875" customWidth="1"/>
    <col min="8706" max="8706" width="11.42578125" customWidth="1"/>
    <col min="8707" max="8707" width="11.85546875" bestFit="1" customWidth="1"/>
    <col min="8708" max="8708" width="16.7109375" customWidth="1"/>
    <col min="8710" max="8710" width="13.5703125" customWidth="1"/>
    <col min="8711" max="8711" width="14" customWidth="1"/>
    <col min="8712" max="8712" width="13.28515625" customWidth="1"/>
    <col min="8715" max="8715" width="15.85546875" customWidth="1"/>
    <col min="8962" max="8962" width="11.42578125" customWidth="1"/>
    <col min="8963" max="8963" width="11.85546875" bestFit="1" customWidth="1"/>
    <col min="8964" max="8964" width="16.7109375" customWidth="1"/>
    <col min="8966" max="8966" width="13.5703125" customWidth="1"/>
    <col min="8967" max="8967" width="14" customWidth="1"/>
    <col min="8968" max="8968" width="13.28515625" customWidth="1"/>
    <col min="8971" max="8971" width="15.85546875" customWidth="1"/>
    <col min="9218" max="9218" width="11.42578125" customWidth="1"/>
    <col min="9219" max="9219" width="11.85546875" bestFit="1" customWidth="1"/>
    <col min="9220" max="9220" width="16.7109375" customWidth="1"/>
    <col min="9222" max="9222" width="13.5703125" customWidth="1"/>
    <col min="9223" max="9223" width="14" customWidth="1"/>
    <col min="9224" max="9224" width="13.28515625" customWidth="1"/>
    <col min="9227" max="9227" width="15.85546875" customWidth="1"/>
    <col min="9474" max="9474" width="11.42578125" customWidth="1"/>
    <col min="9475" max="9475" width="11.85546875" bestFit="1" customWidth="1"/>
    <col min="9476" max="9476" width="16.7109375" customWidth="1"/>
    <col min="9478" max="9478" width="13.5703125" customWidth="1"/>
    <col min="9479" max="9479" width="14" customWidth="1"/>
    <col min="9480" max="9480" width="13.28515625" customWidth="1"/>
    <col min="9483" max="9483" width="15.85546875" customWidth="1"/>
    <col min="9730" max="9730" width="11.42578125" customWidth="1"/>
    <col min="9731" max="9731" width="11.85546875" bestFit="1" customWidth="1"/>
    <col min="9732" max="9732" width="16.7109375" customWidth="1"/>
    <col min="9734" max="9734" width="13.5703125" customWidth="1"/>
    <col min="9735" max="9735" width="14" customWidth="1"/>
    <col min="9736" max="9736" width="13.28515625" customWidth="1"/>
    <col min="9739" max="9739" width="15.85546875" customWidth="1"/>
    <col min="9986" max="9986" width="11.42578125" customWidth="1"/>
    <col min="9987" max="9987" width="11.85546875" bestFit="1" customWidth="1"/>
    <col min="9988" max="9988" width="16.7109375" customWidth="1"/>
    <col min="9990" max="9990" width="13.5703125" customWidth="1"/>
    <col min="9991" max="9991" width="14" customWidth="1"/>
    <col min="9992" max="9992" width="13.28515625" customWidth="1"/>
    <col min="9995" max="9995" width="15.85546875" customWidth="1"/>
    <col min="10242" max="10242" width="11.42578125" customWidth="1"/>
    <col min="10243" max="10243" width="11.85546875" bestFit="1" customWidth="1"/>
    <col min="10244" max="10244" width="16.7109375" customWidth="1"/>
    <col min="10246" max="10246" width="13.5703125" customWidth="1"/>
    <col min="10247" max="10247" width="14" customWidth="1"/>
    <col min="10248" max="10248" width="13.28515625" customWidth="1"/>
    <col min="10251" max="10251" width="15.85546875" customWidth="1"/>
    <col min="10498" max="10498" width="11.42578125" customWidth="1"/>
    <col min="10499" max="10499" width="11.85546875" bestFit="1" customWidth="1"/>
    <col min="10500" max="10500" width="16.7109375" customWidth="1"/>
    <col min="10502" max="10502" width="13.5703125" customWidth="1"/>
    <col min="10503" max="10503" width="14" customWidth="1"/>
    <col min="10504" max="10504" width="13.28515625" customWidth="1"/>
    <col min="10507" max="10507" width="15.85546875" customWidth="1"/>
    <col min="10754" max="10754" width="11.42578125" customWidth="1"/>
    <col min="10755" max="10755" width="11.85546875" bestFit="1" customWidth="1"/>
    <col min="10756" max="10756" width="16.7109375" customWidth="1"/>
    <col min="10758" max="10758" width="13.5703125" customWidth="1"/>
    <col min="10759" max="10759" width="14" customWidth="1"/>
    <col min="10760" max="10760" width="13.28515625" customWidth="1"/>
    <col min="10763" max="10763" width="15.85546875" customWidth="1"/>
    <col min="11010" max="11010" width="11.42578125" customWidth="1"/>
    <col min="11011" max="11011" width="11.85546875" bestFit="1" customWidth="1"/>
    <col min="11012" max="11012" width="16.7109375" customWidth="1"/>
    <col min="11014" max="11014" width="13.5703125" customWidth="1"/>
    <col min="11015" max="11015" width="14" customWidth="1"/>
    <col min="11016" max="11016" width="13.28515625" customWidth="1"/>
    <col min="11019" max="11019" width="15.85546875" customWidth="1"/>
    <col min="11266" max="11266" width="11.42578125" customWidth="1"/>
    <col min="11267" max="11267" width="11.85546875" bestFit="1" customWidth="1"/>
    <col min="11268" max="11268" width="16.7109375" customWidth="1"/>
    <col min="11270" max="11270" width="13.5703125" customWidth="1"/>
    <col min="11271" max="11271" width="14" customWidth="1"/>
    <col min="11272" max="11272" width="13.28515625" customWidth="1"/>
    <col min="11275" max="11275" width="15.85546875" customWidth="1"/>
    <col min="11522" max="11522" width="11.42578125" customWidth="1"/>
    <col min="11523" max="11523" width="11.85546875" bestFit="1" customWidth="1"/>
    <col min="11524" max="11524" width="16.7109375" customWidth="1"/>
    <col min="11526" max="11526" width="13.5703125" customWidth="1"/>
    <col min="11527" max="11527" width="14" customWidth="1"/>
    <col min="11528" max="11528" width="13.28515625" customWidth="1"/>
    <col min="11531" max="11531" width="15.85546875" customWidth="1"/>
    <col min="11778" max="11778" width="11.42578125" customWidth="1"/>
    <col min="11779" max="11779" width="11.85546875" bestFit="1" customWidth="1"/>
    <col min="11780" max="11780" width="16.7109375" customWidth="1"/>
    <col min="11782" max="11782" width="13.5703125" customWidth="1"/>
    <col min="11783" max="11783" width="14" customWidth="1"/>
    <col min="11784" max="11784" width="13.28515625" customWidth="1"/>
    <col min="11787" max="11787" width="15.85546875" customWidth="1"/>
    <col min="12034" max="12034" width="11.42578125" customWidth="1"/>
    <col min="12035" max="12035" width="11.85546875" bestFit="1" customWidth="1"/>
    <col min="12036" max="12036" width="16.7109375" customWidth="1"/>
    <col min="12038" max="12038" width="13.5703125" customWidth="1"/>
    <col min="12039" max="12039" width="14" customWidth="1"/>
    <col min="12040" max="12040" width="13.28515625" customWidth="1"/>
    <col min="12043" max="12043" width="15.85546875" customWidth="1"/>
    <col min="12290" max="12290" width="11.42578125" customWidth="1"/>
    <col min="12291" max="12291" width="11.85546875" bestFit="1" customWidth="1"/>
    <col min="12292" max="12292" width="16.7109375" customWidth="1"/>
    <col min="12294" max="12294" width="13.5703125" customWidth="1"/>
    <col min="12295" max="12295" width="14" customWidth="1"/>
    <col min="12296" max="12296" width="13.28515625" customWidth="1"/>
    <col min="12299" max="12299" width="15.85546875" customWidth="1"/>
    <col min="12546" max="12546" width="11.42578125" customWidth="1"/>
    <col min="12547" max="12547" width="11.85546875" bestFit="1" customWidth="1"/>
    <col min="12548" max="12548" width="16.7109375" customWidth="1"/>
    <col min="12550" max="12550" width="13.5703125" customWidth="1"/>
    <col min="12551" max="12551" width="14" customWidth="1"/>
    <col min="12552" max="12552" width="13.28515625" customWidth="1"/>
    <col min="12555" max="12555" width="15.85546875" customWidth="1"/>
    <col min="12802" max="12802" width="11.42578125" customWidth="1"/>
    <col min="12803" max="12803" width="11.85546875" bestFit="1" customWidth="1"/>
    <col min="12804" max="12804" width="16.7109375" customWidth="1"/>
    <col min="12806" max="12806" width="13.5703125" customWidth="1"/>
    <col min="12807" max="12807" width="14" customWidth="1"/>
    <col min="12808" max="12808" width="13.28515625" customWidth="1"/>
    <col min="12811" max="12811" width="15.85546875" customWidth="1"/>
    <col min="13058" max="13058" width="11.42578125" customWidth="1"/>
    <col min="13059" max="13059" width="11.85546875" bestFit="1" customWidth="1"/>
    <col min="13060" max="13060" width="16.7109375" customWidth="1"/>
    <col min="13062" max="13062" width="13.5703125" customWidth="1"/>
    <col min="13063" max="13063" width="14" customWidth="1"/>
    <col min="13064" max="13064" width="13.28515625" customWidth="1"/>
    <col min="13067" max="13067" width="15.85546875" customWidth="1"/>
    <col min="13314" max="13314" width="11.42578125" customWidth="1"/>
    <col min="13315" max="13315" width="11.85546875" bestFit="1" customWidth="1"/>
    <col min="13316" max="13316" width="16.7109375" customWidth="1"/>
    <col min="13318" max="13318" width="13.5703125" customWidth="1"/>
    <col min="13319" max="13319" width="14" customWidth="1"/>
    <col min="13320" max="13320" width="13.28515625" customWidth="1"/>
    <col min="13323" max="13323" width="15.85546875" customWidth="1"/>
    <col min="13570" max="13570" width="11.42578125" customWidth="1"/>
    <col min="13571" max="13571" width="11.85546875" bestFit="1" customWidth="1"/>
    <col min="13572" max="13572" width="16.7109375" customWidth="1"/>
    <col min="13574" max="13574" width="13.5703125" customWidth="1"/>
    <col min="13575" max="13575" width="14" customWidth="1"/>
    <col min="13576" max="13576" width="13.28515625" customWidth="1"/>
    <col min="13579" max="13579" width="15.85546875" customWidth="1"/>
    <col min="13826" max="13826" width="11.42578125" customWidth="1"/>
    <col min="13827" max="13827" width="11.85546875" bestFit="1" customWidth="1"/>
    <col min="13828" max="13828" width="16.7109375" customWidth="1"/>
    <col min="13830" max="13830" width="13.5703125" customWidth="1"/>
    <col min="13831" max="13831" width="14" customWidth="1"/>
    <col min="13832" max="13832" width="13.28515625" customWidth="1"/>
    <col min="13835" max="13835" width="15.85546875" customWidth="1"/>
    <col min="14082" max="14082" width="11.42578125" customWidth="1"/>
    <col min="14083" max="14083" width="11.85546875" bestFit="1" customWidth="1"/>
    <col min="14084" max="14084" width="16.7109375" customWidth="1"/>
    <col min="14086" max="14086" width="13.5703125" customWidth="1"/>
    <col min="14087" max="14087" width="14" customWidth="1"/>
    <col min="14088" max="14088" width="13.28515625" customWidth="1"/>
    <col min="14091" max="14091" width="15.85546875" customWidth="1"/>
    <col min="14338" max="14338" width="11.42578125" customWidth="1"/>
    <col min="14339" max="14339" width="11.85546875" bestFit="1" customWidth="1"/>
    <col min="14340" max="14340" width="16.7109375" customWidth="1"/>
    <col min="14342" max="14342" width="13.5703125" customWidth="1"/>
    <col min="14343" max="14343" width="14" customWidth="1"/>
    <col min="14344" max="14344" width="13.28515625" customWidth="1"/>
    <col min="14347" max="14347" width="15.85546875" customWidth="1"/>
    <col min="14594" max="14594" width="11.42578125" customWidth="1"/>
    <col min="14595" max="14595" width="11.85546875" bestFit="1" customWidth="1"/>
    <col min="14596" max="14596" width="16.7109375" customWidth="1"/>
    <col min="14598" max="14598" width="13.5703125" customWidth="1"/>
    <col min="14599" max="14599" width="14" customWidth="1"/>
    <col min="14600" max="14600" width="13.28515625" customWidth="1"/>
    <col min="14603" max="14603" width="15.85546875" customWidth="1"/>
    <col min="14850" max="14850" width="11.42578125" customWidth="1"/>
    <col min="14851" max="14851" width="11.85546875" bestFit="1" customWidth="1"/>
    <col min="14852" max="14852" width="16.7109375" customWidth="1"/>
    <col min="14854" max="14854" width="13.5703125" customWidth="1"/>
    <col min="14855" max="14855" width="14" customWidth="1"/>
    <col min="14856" max="14856" width="13.28515625" customWidth="1"/>
    <col min="14859" max="14859" width="15.85546875" customWidth="1"/>
    <col min="15106" max="15106" width="11.42578125" customWidth="1"/>
    <col min="15107" max="15107" width="11.85546875" bestFit="1" customWidth="1"/>
    <col min="15108" max="15108" width="16.7109375" customWidth="1"/>
    <col min="15110" max="15110" width="13.5703125" customWidth="1"/>
    <col min="15111" max="15111" width="14" customWidth="1"/>
    <col min="15112" max="15112" width="13.28515625" customWidth="1"/>
    <col min="15115" max="15115" width="15.85546875" customWidth="1"/>
    <col min="15362" max="15362" width="11.42578125" customWidth="1"/>
    <col min="15363" max="15363" width="11.85546875" bestFit="1" customWidth="1"/>
    <col min="15364" max="15364" width="16.7109375" customWidth="1"/>
    <col min="15366" max="15366" width="13.5703125" customWidth="1"/>
    <col min="15367" max="15367" width="14" customWidth="1"/>
    <col min="15368" max="15368" width="13.28515625" customWidth="1"/>
    <col min="15371" max="15371" width="15.85546875" customWidth="1"/>
    <col min="15618" max="15618" width="11.42578125" customWidth="1"/>
    <col min="15619" max="15619" width="11.85546875" bestFit="1" customWidth="1"/>
    <col min="15620" max="15620" width="16.7109375" customWidth="1"/>
    <col min="15622" max="15622" width="13.5703125" customWidth="1"/>
    <col min="15623" max="15623" width="14" customWidth="1"/>
    <col min="15624" max="15624" width="13.28515625" customWidth="1"/>
    <col min="15627" max="15627" width="15.85546875" customWidth="1"/>
    <col min="15874" max="15874" width="11.42578125" customWidth="1"/>
    <col min="15875" max="15875" width="11.85546875" bestFit="1" customWidth="1"/>
    <col min="15876" max="15876" width="16.7109375" customWidth="1"/>
    <col min="15878" max="15878" width="13.5703125" customWidth="1"/>
    <col min="15879" max="15879" width="14" customWidth="1"/>
    <col min="15880" max="15880" width="13.28515625" customWidth="1"/>
    <col min="15883" max="15883" width="15.85546875" customWidth="1"/>
    <col min="16130" max="16130" width="11.42578125" customWidth="1"/>
    <col min="16131" max="16131" width="11.85546875" bestFit="1" customWidth="1"/>
    <col min="16132" max="16132" width="16.7109375" customWidth="1"/>
    <col min="16134" max="16134" width="13.5703125" customWidth="1"/>
    <col min="16135" max="16135" width="14" customWidth="1"/>
    <col min="16136" max="16136" width="13.28515625" customWidth="1"/>
    <col min="16139" max="16139" width="15.85546875" customWidth="1"/>
  </cols>
  <sheetData>
    <row r="2" spans="1:22" ht="15.75" x14ac:dyDescent="0.25">
      <c r="A2" s="1" t="s">
        <v>0</v>
      </c>
      <c r="H2" s="253"/>
      <c r="I2" s="253"/>
      <c r="J2" s="253"/>
      <c r="K2" s="253"/>
      <c r="L2" s="253"/>
    </row>
    <row r="3" spans="1:22" ht="15.75" customHeight="1" x14ac:dyDescent="0.25">
      <c r="A3" s="1" t="s">
        <v>31</v>
      </c>
      <c r="H3" s="253"/>
      <c r="I3" s="253"/>
      <c r="J3" s="253"/>
      <c r="K3" s="253"/>
      <c r="L3" s="253"/>
    </row>
    <row r="4" spans="1:22" ht="39" customHeight="1" thickBot="1" x14ac:dyDescent="0.3">
      <c r="A4" s="1"/>
      <c r="C4" s="1"/>
      <c r="G4" s="89"/>
      <c r="H4" s="90"/>
      <c r="I4" s="90"/>
      <c r="J4" s="89"/>
      <c r="K4" s="89"/>
      <c r="L4" s="89"/>
      <c r="M4" s="89"/>
      <c r="R4" s="36">
        <f>ZTEST(I7:L22,N7,0.1)</f>
        <v>0</v>
      </c>
    </row>
    <row r="5" spans="1:22" ht="45.75" thickBot="1" x14ac:dyDescent="0.3">
      <c r="A5" s="24"/>
      <c r="C5" s="24"/>
      <c r="G5" s="89"/>
      <c r="H5" s="91" t="s">
        <v>82</v>
      </c>
      <c r="I5" s="92" t="s">
        <v>83</v>
      </c>
      <c r="J5" s="92" t="s">
        <v>32</v>
      </c>
      <c r="K5" s="92" t="s">
        <v>33</v>
      </c>
      <c r="L5" s="93" t="s">
        <v>51</v>
      </c>
      <c r="N5" s="108" t="s">
        <v>77</v>
      </c>
    </row>
    <row r="6" spans="1:22" ht="15.75" x14ac:dyDescent="0.25">
      <c r="A6" s="30"/>
      <c r="C6" s="30"/>
      <c r="G6" s="89"/>
      <c r="H6" s="94">
        <v>0</v>
      </c>
      <c r="I6" s="95">
        <v>0</v>
      </c>
      <c r="J6" s="96">
        <v>0</v>
      </c>
      <c r="K6" s="96">
        <v>0</v>
      </c>
      <c r="L6" s="97">
        <v>0</v>
      </c>
      <c r="M6" s="107">
        <v>4</v>
      </c>
    </row>
    <row r="7" spans="1:22" x14ac:dyDescent="0.25">
      <c r="G7" s="89"/>
      <c r="H7" s="99">
        <v>110</v>
      </c>
      <c r="I7" s="100">
        <v>4</v>
      </c>
      <c r="J7" s="101">
        <v>74900</v>
      </c>
      <c r="K7" s="101">
        <f>+J7/6</f>
        <v>12483.333333333334</v>
      </c>
      <c r="L7" s="102">
        <v>0.1016</v>
      </c>
      <c r="M7" s="107">
        <v>6</v>
      </c>
      <c r="N7" s="26"/>
    </row>
    <row r="8" spans="1:22" x14ac:dyDescent="0.25">
      <c r="G8" s="89"/>
      <c r="H8" s="99">
        <v>160</v>
      </c>
      <c r="I8" s="100">
        <v>6</v>
      </c>
      <c r="J8" s="101">
        <v>143413</v>
      </c>
      <c r="K8" s="101">
        <f>+J8/6</f>
        <v>23902.166666666668</v>
      </c>
      <c r="L8" s="102">
        <v>0.14499999999999999</v>
      </c>
      <c r="M8" s="107">
        <v>8</v>
      </c>
      <c r="N8" s="26"/>
      <c r="V8">
        <v>0.1371</v>
      </c>
    </row>
    <row r="9" spans="1:22" x14ac:dyDescent="0.25">
      <c r="G9" s="89"/>
      <c r="H9" s="99">
        <v>200</v>
      </c>
      <c r="I9" s="100">
        <v>8</v>
      </c>
      <c r="J9" s="101">
        <v>199094</v>
      </c>
      <c r="K9" s="101">
        <f t="shared" ref="K9:K15" si="0">+J9/6</f>
        <v>33182.333333333336</v>
      </c>
      <c r="L9" s="102">
        <v>0.182</v>
      </c>
      <c r="M9" s="107">
        <v>10</v>
      </c>
      <c r="N9" s="26"/>
      <c r="V9">
        <f>+V8/L8</f>
        <v>0.94551724137931037</v>
      </c>
    </row>
    <row r="10" spans="1:22" x14ac:dyDescent="0.25">
      <c r="G10" s="89"/>
      <c r="H10" s="99">
        <v>250</v>
      </c>
      <c r="I10" s="100">
        <v>10</v>
      </c>
      <c r="J10" s="101">
        <v>286090</v>
      </c>
      <c r="K10" s="101">
        <f t="shared" si="0"/>
        <v>47681.666666666664</v>
      </c>
      <c r="L10" s="102">
        <v>0.22700000000000001</v>
      </c>
      <c r="M10" s="107">
        <v>12</v>
      </c>
      <c r="N10" s="26"/>
    </row>
    <row r="11" spans="1:22" x14ac:dyDescent="0.25">
      <c r="G11" s="89"/>
      <c r="H11" s="99">
        <v>315</v>
      </c>
      <c r="I11" s="100">
        <v>12</v>
      </c>
      <c r="J11" s="101">
        <v>422920</v>
      </c>
      <c r="K11" s="101">
        <f t="shared" si="0"/>
        <v>70486.666666666672</v>
      </c>
      <c r="L11" s="102">
        <v>0.28399999999999997</v>
      </c>
      <c r="M11" s="107">
        <v>14</v>
      </c>
      <c r="N11" s="26"/>
      <c r="U11">
        <f>5.39/6</f>
        <v>0.89833333333333332</v>
      </c>
    </row>
    <row r="12" spans="1:22" x14ac:dyDescent="0.25">
      <c r="G12" s="89"/>
      <c r="H12" s="99">
        <v>355</v>
      </c>
      <c r="I12" s="100">
        <v>14</v>
      </c>
      <c r="J12" s="101">
        <v>488776</v>
      </c>
      <c r="K12" s="101">
        <f t="shared" si="0"/>
        <v>81462.666666666672</v>
      </c>
      <c r="L12" s="102">
        <v>0.32700000000000001</v>
      </c>
      <c r="M12" s="107">
        <v>16</v>
      </c>
      <c r="N12" s="26"/>
      <c r="U12" s="36">
        <f>0.1807/0.182</f>
        <v>0.99285714285714288</v>
      </c>
    </row>
    <row r="13" spans="1:22" x14ac:dyDescent="0.25">
      <c r="G13" s="89"/>
      <c r="H13" s="99">
        <v>400</v>
      </c>
      <c r="I13" s="100">
        <v>16</v>
      </c>
      <c r="J13" s="101">
        <v>691980</v>
      </c>
      <c r="K13" s="101">
        <f t="shared" si="0"/>
        <v>115330</v>
      </c>
      <c r="L13" s="102">
        <v>0.36199999999999999</v>
      </c>
      <c r="M13" s="107">
        <v>18</v>
      </c>
      <c r="N13" s="26"/>
      <c r="U13" s="36">
        <f>0.1471/0.145</f>
        <v>1.0144827586206897</v>
      </c>
    </row>
    <row r="14" spans="1:22" x14ac:dyDescent="0.25">
      <c r="G14" s="89"/>
      <c r="H14" s="99">
        <v>450</v>
      </c>
      <c r="I14" s="100">
        <v>18</v>
      </c>
      <c r="J14" s="101">
        <v>918203</v>
      </c>
      <c r="K14" s="101">
        <f t="shared" si="0"/>
        <v>153033.83333333334</v>
      </c>
      <c r="L14" s="102">
        <v>0.40699999999999997</v>
      </c>
      <c r="M14" s="107">
        <v>20</v>
      </c>
      <c r="N14" s="26"/>
    </row>
    <row r="15" spans="1:22" x14ac:dyDescent="0.25">
      <c r="G15" s="89"/>
      <c r="H15" s="99">
        <v>500</v>
      </c>
      <c r="I15" s="100">
        <v>20</v>
      </c>
      <c r="J15" s="101">
        <v>1149791</v>
      </c>
      <c r="K15" s="101">
        <f t="shared" si="0"/>
        <v>191631.83333333334</v>
      </c>
      <c r="L15" s="102">
        <v>0.45200000000000001</v>
      </c>
      <c r="M15" s="107">
        <v>24</v>
      </c>
      <c r="N15" s="26"/>
    </row>
    <row r="16" spans="1:22" x14ac:dyDescent="0.25">
      <c r="G16" s="89"/>
      <c r="H16" s="99">
        <v>24</v>
      </c>
      <c r="I16" s="100">
        <v>24</v>
      </c>
      <c r="J16" s="101">
        <v>1710712</v>
      </c>
      <c r="K16" s="101">
        <f>+J16/6.5</f>
        <v>263186.46153846156</v>
      </c>
      <c r="L16" s="102">
        <v>0.59499999999999997</v>
      </c>
      <c r="M16" s="107">
        <v>27</v>
      </c>
      <c r="N16" s="26"/>
    </row>
    <row r="17" spans="7:14" x14ac:dyDescent="0.25">
      <c r="G17" s="89"/>
      <c r="H17" s="99">
        <v>27</v>
      </c>
      <c r="I17" s="100">
        <v>27</v>
      </c>
      <c r="J17" s="101">
        <v>1864323</v>
      </c>
      <c r="K17" s="101">
        <f t="shared" ref="K17:K22" si="1">+J17/6.5</f>
        <v>286818.92307692306</v>
      </c>
      <c r="L17" s="102">
        <v>0.67</v>
      </c>
      <c r="M17" s="107">
        <v>30</v>
      </c>
      <c r="N17" s="26"/>
    </row>
    <row r="18" spans="7:14" x14ac:dyDescent="0.25">
      <c r="G18" s="89"/>
      <c r="H18" s="99">
        <v>30</v>
      </c>
      <c r="I18" s="100">
        <v>30</v>
      </c>
      <c r="J18" s="101">
        <v>2426743</v>
      </c>
      <c r="K18" s="101">
        <f t="shared" si="1"/>
        <v>373345.07692307694</v>
      </c>
      <c r="L18" s="102">
        <v>0.747</v>
      </c>
      <c r="M18" s="107">
        <v>33</v>
      </c>
      <c r="N18" s="26"/>
    </row>
    <row r="19" spans="7:14" x14ac:dyDescent="0.25">
      <c r="G19" s="89"/>
      <c r="H19" s="99">
        <v>33</v>
      </c>
      <c r="I19" s="100">
        <v>33</v>
      </c>
      <c r="J19" s="101">
        <v>3110771</v>
      </c>
      <c r="K19" s="101">
        <f t="shared" si="1"/>
        <v>478580.15384615387</v>
      </c>
      <c r="L19" s="102">
        <v>0.82399999999999995</v>
      </c>
      <c r="M19" s="107">
        <v>36</v>
      </c>
      <c r="N19" s="26"/>
    </row>
    <row r="20" spans="7:14" x14ac:dyDescent="0.25">
      <c r="G20" s="89"/>
      <c r="H20" s="99">
        <v>36</v>
      </c>
      <c r="I20" s="100">
        <v>36</v>
      </c>
      <c r="J20" s="101">
        <v>4490770</v>
      </c>
      <c r="K20" s="101">
        <f t="shared" si="1"/>
        <v>690887.69230769225</v>
      </c>
      <c r="L20" s="102">
        <v>0.9</v>
      </c>
      <c r="M20" s="107">
        <v>39</v>
      </c>
      <c r="N20" s="26"/>
    </row>
    <row r="21" spans="7:14" x14ac:dyDescent="0.25">
      <c r="G21" s="89"/>
      <c r="H21" s="99">
        <v>39</v>
      </c>
      <c r="I21" s="100">
        <v>39</v>
      </c>
      <c r="J21" s="101">
        <v>6348815</v>
      </c>
      <c r="K21" s="101">
        <f t="shared" si="1"/>
        <v>976740.76923076925</v>
      </c>
      <c r="L21" s="102">
        <v>0.97760000000000002</v>
      </c>
      <c r="M21" s="107">
        <v>42</v>
      </c>
      <c r="N21" s="26"/>
    </row>
    <row r="22" spans="7:14" ht="15.75" thickBot="1" x14ac:dyDescent="0.3">
      <c r="G22" s="89"/>
      <c r="H22" s="103">
        <v>42</v>
      </c>
      <c r="I22" s="104">
        <v>42</v>
      </c>
      <c r="J22" s="105">
        <v>6950394</v>
      </c>
      <c r="K22" s="105">
        <f t="shared" si="1"/>
        <v>1069291.3846153845</v>
      </c>
      <c r="L22" s="106">
        <v>0.10539999999999999</v>
      </c>
      <c r="M22" s="98"/>
      <c r="N22" s="26"/>
    </row>
    <row r="23" spans="7:14" x14ac:dyDescent="0.25">
      <c r="G23" s="89"/>
      <c r="H23" s="89"/>
      <c r="I23" s="89"/>
      <c r="J23" s="89"/>
      <c r="K23" s="89"/>
      <c r="L23" s="89"/>
      <c r="M23" s="89"/>
    </row>
    <row r="28" spans="7:14" x14ac:dyDescent="0.25">
      <c r="G28" s="89"/>
      <c r="H28" s="89"/>
      <c r="I28" s="115"/>
      <c r="J28" s="115"/>
      <c r="K28" s="115"/>
    </row>
    <row r="29" spans="7:14" ht="15.75" thickBot="1" x14ac:dyDescent="0.3">
      <c r="G29" s="89"/>
      <c r="H29" s="89"/>
      <c r="I29" s="115"/>
      <c r="J29" s="115"/>
      <c r="K29" s="115"/>
    </row>
    <row r="30" spans="7:14" ht="30.75" thickBot="1" x14ac:dyDescent="0.3">
      <c r="G30" s="89"/>
      <c r="H30" s="192" t="s">
        <v>106</v>
      </c>
      <c r="I30" s="193" t="s">
        <v>107</v>
      </c>
      <c r="J30" s="194" t="s">
        <v>108</v>
      </c>
      <c r="K30" s="115"/>
    </row>
    <row r="31" spans="7:14" x14ac:dyDescent="0.25">
      <c r="G31" s="89"/>
      <c r="H31" s="195" t="s">
        <v>41</v>
      </c>
      <c r="I31" s="196" t="s">
        <v>109</v>
      </c>
      <c r="J31" s="197">
        <v>158</v>
      </c>
      <c r="K31" s="115"/>
    </row>
    <row r="32" spans="7:14" x14ac:dyDescent="0.25">
      <c r="G32" s="89"/>
      <c r="H32" s="198" t="s">
        <v>110</v>
      </c>
      <c r="I32" s="199">
        <v>6</v>
      </c>
      <c r="J32" s="200">
        <v>17</v>
      </c>
      <c r="K32" s="115"/>
    </row>
    <row r="33" spans="7:11" ht="15.75" thickBot="1" x14ac:dyDescent="0.3">
      <c r="G33" s="89"/>
      <c r="H33" s="201" t="s">
        <v>44</v>
      </c>
      <c r="I33" s="202">
        <v>7</v>
      </c>
      <c r="J33" s="203">
        <v>179</v>
      </c>
      <c r="K33" s="115"/>
    </row>
    <row r="34" spans="7:11" x14ac:dyDescent="0.25">
      <c r="G34" s="89"/>
      <c r="H34" s="89"/>
      <c r="I34" s="115"/>
      <c r="J34" s="115"/>
      <c r="K34" s="115"/>
    </row>
    <row r="35" spans="7:11" x14ac:dyDescent="0.25">
      <c r="I35" s="2"/>
      <c r="J35" s="2"/>
      <c r="K35" s="2"/>
    </row>
    <row r="36" spans="7:11" x14ac:dyDescent="0.25">
      <c r="I36" s="2"/>
      <c r="J36" s="2"/>
      <c r="K36" s="2"/>
    </row>
    <row r="37" spans="7:11" x14ac:dyDescent="0.25">
      <c r="I37" s="2"/>
      <c r="J37" s="2"/>
      <c r="K37" s="2"/>
    </row>
  </sheetData>
  <mergeCells count="2">
    <mergeCell ref="H2:L2"/>
    <mergeCell ref="H3:L3"/>
  </mergeCells>
  <pageMargins left="0.7" right="0.7" top="0.75" bottom="0.75" header="0.3" footer="0.3"/>
  <pageSetup paperSize="9" scale="5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8"/>
  <sheetViews>
    <sheetView view="pageBreakPreview" zoomScale="85" zoomScaleNormal="100" zoomScaleSheetLayoutView="85" workbookViewId="0">
      <selection activeCell="H10" sqref="H10"/>
    </sheetView>
  </sheetViews>
  <sheetFormatPr baseColWidth="10" defaultRowHeight="12.75" x14ac:dyDescent="0.2"/>
  <cols>
    <col min="1" max="3" width="11.42578125" style="39"/>
    <col min="4" max="4" width="16.140625" style="39" customWidth="1"/>
    <col min="5" max="16384" width="11.42578125" style="39"/>
  </cols>
  <sheetData>
    <row r="1" spans="1:13" ht="15" x14ac:dyDescent="0.2">
      <c r="A1" s="253" t="s">
        <v>105</v>
      </c>
      <c r="B1" s="253"/>
      <c r="C1" s="253"/>
      <c r="D1" s="253"/>
    </row>
    <row r="2" spans="1:13" ht="36" customHeight="1" x14ac:dyDescent="0.2">
      <c r="A2" s="253" t="s">
        <v>62</v>
      </c>
      <c r="B2" s="253"/>
      <c r="C2" s="253"/>
      <c r="D2" s="253"/>
      <c r="H2" s="69"/>
      <c r="I2" s="69"/>
      <c r="J2" s="69"/>
      <c r="K2" s="69"/>
      <c r="L2" s="69"/>
      <c r="M2" s="69"/>
    </row>
    <row r="4" spans="1:13" x14ac:dyDescent="0.2">
      <c r="A4" s="70" t="s">
        <v>59</v>
      </c>
      <c r="B4" s="70" t="s">
        <v>60</v>
      </c>
      <c r="C4" s="70" t="s">
        <v>63</v>
      </c>
      <c r="D4" s="70" t="s">
        <v>64</v>
      </c>
    </row>
    <row r="5" spans="1:13" x14ac:dyDescent="0.2">
      <c r="A5" s="41">
        <v>0</v>
      </c>
      <c r="B5" s="41">
        <v>0</v>
      </c>
      <c r="C5" s="41">
        <v>0</v>
      </c>
      <c r="D5" s="42">
        <v>0</v>
      </c>
    </row>
    <row r="6" spans="1:13" x14ac:dyDescent="0.2">
      <c r="A6" s="41">
        <v>0.01</v>
      </c>
      <c r="B6" s="41">
        <v>0.29199999999999998</v>
      </c>
      <c r="C6" s="41">
        <v>9.1999999999999998E-2</v>
      </c>
      <c r="D6" s="42">
        <v>0.19500000000000001</v>
      </c>
    </row>
    <row r="7" spans="1:13" x14ac:dyDescent="0.2">
      <c r="A7" s="41">
        <v>0.02</v>
      </c>
      <c r="B7" s="41">
        <v>0.36199999999999999</v>
      </c>
      <c r="C7" s="41">
        <v>0.124</v>
      </c>
      <c r="D7" s="42">
        <v>0.27300000000000002</v>
      </c>
    </row>
    <row r="8" spans="1:13" x14ac:dyDescent="0.2">
      <c r="A8" s="41">
        <v>0.03</v>
      </c>
      <c r="B8" s="41">
        <v>0.4</v>
      </c>
      <c r="C8" s="41">
        <v>0.14799999999999999</v>
      </c>
      <c r="D8" s="42">
        <v>0.32800000000000001</v>
      </c>
    </row>
    <row r="9" spans="1:13" x14ac:dyDescent="0.2">
      <c r="A9" s="41">
        <f>A8+0.01</f>
        <v>0.04</v>
      </c>
      <c r="B9" s="41">
        <v>0.42699999999999999</v>
      </c>
      <c r="C9" s="41">
        <v>0.16500000000000001</v>
      </c>
      <c r="D9" s="42">
        <v>0.375</v>
      </c>
    </row>
    <row r="10" spans="1:13" x14ac:dyDescent="0.2">
      <c r="A10" s="41">
        <f t="shared" ref="A10:A73" si="0">A9+0.01</f>
        <v>0.05</v>
      </c>
      <c r="B10" s="41">
        <v>0.45300000000000001</v>
      </c>
      <c r="C10" s="41">
        <v>0.182</v>
      </c>
      <c r="D10" s="42">
        <v>0.41499999999999998</v>
      </c>
    </row>
    <row r="11" spans="1:13" x14ac:dyDescent="0.2">
      <c r="A11" s="41">
        <f t="shared" si="0"/>
        <v>6.0000000000000005E-2</v>
      </c>
      <c r="B11" s="41">
        <v>0.47299999999999998</v>
      </c>
      <c r="C11" s="41">
        <v>0.19600000000000001</v>
      </c>
      <c r="D11" s="42">
        <v>0.45200000000000001</v>
      </c>
    </row>
    <row r="12" spans="1:13" x14ac:dyDescent="0.2">
      <c r="A12" s="41">
        <f t="shared" si="0"/>
        <v>7.0000000000000007E-2</v>
      </c>
      <c r="B12" s="41">
        <v>0.49199999999999999</v>
      </c>
      <c r="C12" s="41">
        <v>0.21</v>
      </c>
      <c r="D12" s="42">
        <v>0.48499999999999999</v>
      </c>
    </row>
    <row r="13" spans="1:13" x14ac:dyDescent="0.2">
      <c r="A13" s="41">
        <f t="shared" si="0"/>
        <v>0.08</v>
      </c>
      <c r="B13" s="41">
        <v>0.505</v>
      </c>
      <c r="C13" s="41">
        <v>0.22</v>
      </c>
      <c r="D13" s="42">
        <v>0.51500000000000001</v>
      </c>
    </row>
    <row r="14" spans="1:13" x14ac:dyDescent="0.2">
      <c r="A14" s="41">
        <f t="shared" si="0"/>
        <v>0.09</v>
      </c>
      <c r="B14" s="41">
        <v>0.52</v>
      </c>
      <c r="C14" s="41">
        <v>0.23200000000000001</v>
      </c>
      <c r="D14" s="42">
        <v>0.54200000000000004</v>
      </c>
    </row>
    <row r="15" spans="1:13" x14ac:dyDescent="0.2">
      <c r="A15" s="43">
        <f t="shared" si="0"/>
        <v>9.9999999999999992E-2</v>
      </c>
      <c r="B15" s="41">
        <v>0.54</v>
      </c>
      <c r="C15" s="41">
        <v>0.248</v>
      </c>
      <c r="D15" s="42">
        <v>0.56799999999999995</v>
      </c>
    </row>
    <row r="16" spans="1:13" x14ac:dyDescent="0.2">
      <c r="A16" s="41">
        <f t="shared" si="0"/>
        <v>0.10999999999999999</v>
      </c>
      <c r="B16" s="41">
        <v>0.55300000000000005</v>
      </c>
      <c r="C16" s="41">
        <v>0.25800000000000001</v>
      </c>
      <c r="D16" s="42">
        <v>0.59199999999999997</v>
      </c>
    </row>
    <row r="17" spans="1:4" x14ac:dyDescent="0.2">
      <c r="A17" s="41">
        <f t="shared" si="0"/>
        <v>0.11999999999999998</v>
      </c>
      <c r="B17" s="41">
        <v>0.56999999999999995</v>
      </c>
      <c r="C17" s="41">
        <v>0.27</v>
      </c>
      <c r="D17" s="42">
        <v>0.61499999999999999</v>
      </c>
    </row>
    <row r="18" spans="1:4" x14ac:dyDescent="0.2">
      <c r="A18" s="41">
        <f t="shared" si="0"/>
        <v>0.12999999999999998</v>
      </c>
      <c r="B18" s="41">
        <v>0.57999999999999996</v>
      </c>
      <c r="C18" s="41">
        <v>0.28000000000000003</v>
      </c>
      <c r="D18" s="42">
        <v>0.63700000000000001</v>
      </c>
    </row>
    <row r="19" spans="1:4" x14ac:dyDescent="0.2">
      <c r="A19" s="41">
        <f t="shared" si="0"/>
        <v>0.13999999999999999</v>
      </c>
      <c r="B19" s="41">
        <v>0.59</v>
      </c>
      <c r="C19" s="41">
        <v>0.28899999999999998</v>
      </c>
      <c r="D19" s="42">
        <v>0.65800000000000003</v>
      </c>
    </row>
    <row r="20" spans="1:4" x14ac:dyDescent="0.2">
      <c r="A20" s="41">
        <f t="shared" si="0"/>
        <v>0.15</v>
      </c>
      <c r="B20" s="41">
        <v>0.6</v>
      </c>
      <c r="C20" s="41">
        <v>0.29799999999999999</v>
      </c>
      <c r="D20" s="42">
        <v>0.67800000000000005</v>
      </c>
    </row>
    <row r="21" spans="1:4" x14ac:dyDescent="0.2">
      <c r="A21" s="41">
        <f t="shared" si="0"/>
        <v>0.16</v>
      </c>
      <c r="B21" s="41">
        <v>0.61299999999999999</v>
      </c>
      <c r="C21" s="41">
        <v>0.308</v>
      </c>
      <c r="D21" s="42">
        <v>0.69699999999999995</v>
      </c>
    </row>
    <row r="22" spans="1:4" x14ac:dyDescent="0.2">
      <c r="A22" s="41">
        <f t="shared" si="0"/>
        <v>0.17</v>
      </c>
      <c r="B22" s="41">
        <v>0.624</v>
      </c>
      <c r="C22" s="41">
        <v>0.315</v>
      </c>
      <c r="D22" s="42">
        <v>0.71499999999999997</v>
      </c>
    </row>
    <row r="23" spans="1:4" x14ac:dyDescent="0.2">
      <c r="A23" s="41">
        <f t="shared" si="0"/>
        <v>0.18000000000000002</v>
      </c>
      <c r="B23" s="41">
        <v>0.63400000000000001</v>
      </c>
      <c r="C23" s="41">
        <v>0.32300000000000001</v>
      </c>
      <c r="D23" s="42">
        <v>0.73199999999999998</v>
      </c>
    </row>
    <row r="24" spans="1:4" x14ac:dyDescent="0.2">
      <c r="A24" s="41">
        <v>0.19</v>
      </c>
      <c r="B24" s="41">
        <v>0.64500000000000002</v>
      </c>
      <c r="C24" s="41">
        <v>0.33400000000000002</v>
      </c>
      <c r="D24" s="42">
        <v>0.748</v>
      </c>
    </row>
    <row r="25" spans="1:4" x14ac:dyDescent="0.2">
      <c r="A25" s="44">
        <f t="shared" si="0"/>
        <v>0.2</v>
      </c>
      <c r="B25" s="41">
        <v>0.65600000000000003</v>
      </c>
      <c r="C25" s="41">
        <v>0.34599999999999997</v>
      </c>
      <c r="D25" s="42">
        <v>0.76400000000000001</v>
      </c>
    </row>
    <row r="26" spans="1:4" x14ac:dyDescent="0.2">
      <c r="A26" s="41">
        <f t="shared" si="0"/>
        <v>0.21000000000000002</v>
      </c>
      <c r="B26" s="41">
        <v>0.66400000000000003</v>
      </c>
      <c r="C26" s="41">
        <v>0.35299999999999998</v>
      </c>
      <c r="D26" s="42">
        <v>0.77900000000000003</v>
      </c>
    </row>
    <row r="27" spans="1:4" x14ac:dyDescent="0.2">
      <c r="A27" s="41">
        <f t="shared" si="0"/>
        <v>0.22000000000000003</v>
      </c>
      <c r="B27" s="41">
        <v>0.67200000000000004</v>
      </c>
      <c r="C27" s="41">
        <v>0.36199999999999999</v>
      </c>
      <c r="D27" s="42">
        <v>0.79400000000000004</v>
      </c>
    </row>
    <row r="28" spans="1:4" x14ac:dyDescent="0.2">
      <c r="A28" s="41">
        <f t="shared" si="0"/>
        <v>0.23000000000000004</v>
      </c>
      <c r="B28" s="41">
        <v>0.68</v>
      </c>
      <c r="C28" s="41">
        <v>0.37</v>
      </c>
      <c r="D28" s="42">
        <v>0.80900000000000005</v>
      </c>
    </row>
    <row r="29" spans="1:4" x14ac:dyDescent="0.2">
      <c r="A29" s="41">
        <f t="shared" si="0"/>
        <v>0.24000000000000005</v>
      </c>
      <c r="B29" s="41">
        <v>0.68700000000000006</v>
      </c>
      <c r="C29" s="41">
        <v>0.379</v>
      </c>
      <c r="D29" s="42">
        <v>0.82199999999999995</v>
      </c>
    </row>
    <row r="30" spans="1:4" x14ac:dyDescent="0.2">
      <c r="A30" s="41">
        <f t="shared" si="0"/>
        <v>0.25000000000000006</v>
      </c>
      <c r="B30" s="41">
        <v>0.69499999999999995</v>
      </c>
      <c r="C30" s="41">
        <v>0.38600000000000001</v>
      </c>
      <c r="D30" s="42">
        <v>0.83599999999999997</v>
      </c>
    </row>
    <row r="31" spans="1:4" x14ac:dyDescent="0.2">
      <c r="A31" s="41">
        <f t="shared" si="0"/>
        <v>0.26000000000000006</v>
      </c>
      <c r="B31" s="41">
        <v>0.7</v>
      </c>
      <c r="C31" s="41">
        <v>0.39300000000000002</v>
      </c>
      <c r="D31" s="42">
        <v>0.84899999999999998</v>
      </c>
    </row>
    <row r="32" spans="1:4" x14ac:dyDescent="0.2">
      <c r="A32" s="41">
        <f t="shared" si="0"/>
        <v>0.27000000000000007</v>
      </c>
      <c r="B32" s="41">
        <v>0.70599999999999996</v>
      </c>
      <c r="C32" s="41">
        <v>0.4</v>
      </c>
      <c r="D32" s="42">
        <v>0.86199999999999999</v>
      </c>
    </row>
    <row r="33" spans="1:4" x14ac:dyDescent="0.2">
      <c r="A33" s="41">
        <f t="shared" si="0"/>
        <v>0.28000000000000008</v>
      </c>
      <c r="B33" s="41">
        <v>0.71299999999999997</v>
      </c>
      <c r="C33" s="41">
        <v>0.40899999999999997</v>
      </c>
      <c r="D33" s="42">
        <v>0.874</v>
      </c>
    </row>
    <row r="34" spans="1:4" x14ac:dyDescent="0.2">
      <c r="A34" s="41">
        <f t="shared" si="0"/>
        <v>0.29000000000000009</v>
      </c>
      <c r="B34" s="41">
        <v>0.72</v>
      </c>
      <c r="C34" s="41">
        <v>0.41699999999999998</v>
      </c>
      <c r="D34" s="42">
        <v>0.88500000000000001</v>
      </c>
    </row>
    <row r="35" spans="1:4" x14ac:dyDescent="0.2">
      <c r="A35" s="43">
        <f t="shared" si="0"/>
        <v>0.3000000000000001</v>
      </c>
      <c r="B35" s="41">
        <v>0.72699999999999998</v>
      </c>
      <c r="C35" s="41">
        <v>0.42399999999999999</v>
      </c>
      <c r="D35" s="42">
        <v>0.89700000000000002</v>
      </c>
    </row>
    <row r="36" spans="1:4" x14ac:dyDescent="0.2">
      <c r="A36" s="41">
        <f t="shared" si="0"/>
        <v>0.31000000000000011</v>
      </c>
      <c r="B36" s="41">
        <v>0.73199999999999998</v>
      </c>
      <c r="C36" s="41">
        <v>0.43099999999999999</v>
      </c>
      <c r="D36" s="42">
        <v>0.90800000000000003</v>
      </c>
    </row>
    <row r="37" spans="1:4" x14ac:dyDescent="0.2">
      <c r="A37" s="41">
        <f t="shared" si="0"/>
        <v>0.32000000000000012</v>
      </c>
      <c r="B37" s="41">
        <v>0.74</v>
      </c>
      <c r="C37" s="41">
        <v>0.439</v>
      </c>
      <c r="D37" s="42">
        <v>0.91800000000000004</v>
      </c>
    </row>
    <row r="38" spans="1:4" x14ac:dyDescent="0.2">
      <c r="A38" s="41">
        <f t="shared" si="0"/>
        <v>0.33000000000000013</v>
      </c>
      <c r="B38" s="41">
        <v>0.75</v>
      </c>
      <c r="C38" s="41">
        <v>0.44700000000000001</v>
      </c>
      <c r="D38" s="42">
        <v>0.92900000000000005</v>
      </c>
    </row>
    <row r="39" spans="1:4" x14ac:dyDescent="0.2">
      <c r="A39" s="41">
        <f t="shared" si="0"/>
        <v>0.34000000000000014</v>
      </c>
      <c r="B39" s="41">
        <v>0.755</v>
      </c>
      <c r="C39" s="41">
        <v>0.45200000000000001</v>
      </c>
      <c r="D39" s="42">
        <v>0.93899999999999995</v>
      </c>
    </row>
    <row r="40" spans="1:4" x14ac:dyDescent="0.2">
      <c r="A40" s="41">
        <f t="shared" si="0"/>
        <v>0.35000000000000014</v>
      </c>
      <c r="B40" s="41">
        <v>0.76</v>
      </c>
      <c r="C40" s="41">
        <v>0.46</v>
      </c>
      <c r="D40" s="42">
        <v>0.94899999999999995</v>
      </c>
    </row>
    <row r="41" spans="1:4" x14ac:dyDescent="0.2">
      <c r="A41" s="41">
        <f t="shared" si="0"/>
        <v>0.36000000000000015</v>
      </c>
      <c r="B41" s="40">
        <v>0.76800000000000002</v>
      </c>
      <c r="C41" s="40">
        <v>0.46800000000000003</v>
      </c>
      <c r="D41" s="42">
        <v>0.95899999999999996</v>
      </c>
    </row>
    <row r="42" spans="1:4" x14ac:dyDescent="0.2">
      <c r="A42" s="41">
        <f t="shared" si="0"/>
        <v>0.37000000000000016</v>
      </c>
      <c r="B42" s="40">
        <v>0.77600000000000002</v>
      </c>
      <c r="C42" s="40">
        <v>0.47599999999999998</v>
      </c>
      <c r="D42" s="42">
        <v>0.96799999999999997</v>
      </c>
    </row>
    <row r="43" spans="1:4" x14ac:dyDescent="0.2">
      <c r="A43" s="41">
        <f t="shared" si="0"/>
        <v>0.38000000000000017</v>
      </c>
      <c r="B43" s="40">
        <v>0.78100000000000003</v>
      </c>
      <c r="C43" s="40">
        <v>0.48199999999999998</v>
      </c>
      <c r="D43" s="42">
        <v>0.97799999999999998</v>
      </c>
    </row>
    <row r="44" spans="1:4" x14ac:dyDescent="0.2">
      <c r="A44" s="41">
        <f t="shared" si="0"/>
        <v>0.39000000000000018</v>
      </c>
      <c r="B44" s="40">
        <v>0.78700000000000003</v>
      </c>
      <c r="C44" s="40">
        <v>0.48799999999999999</v>
      </c>
      <c r="D44" s="42">
        <v>0.98699999999999999</v>
      </c>
    </row>
    <row r="45" spans="1:4" x14ac:dyDescent="0.2">
      <c r="A45" s="43">
        <f t="shared" si="0"/>
        <v>0.40000000000000019</v>
      </c>
      <c r="B45" s="40">
        <v>0.79600000000000004</v>
      </c>
      <c r="C45" s="40">
        <v>0.498</v>
      </c>
      <c r="D45" s="42">
        <v>0.996</v>
      </c>
    </row>
    <row r="46" spans="1:4" x14ac:dyDescent="0.2">
      <c r="A46" s="41">
        <f t="shared" si="0"/>
        <v>0.4100000000000002</v>
      </c>
      <c r="B46" s="40">
        <v>0.80200000000000005</v>
      </c>
      <c r="C46" s="40">
        <v>0.504</v>
      </c>
      <c r="D46" s="42">
        <v>1.004</v>
      </c>
    </row>
    <row r="47" spans="1:4" x14ac:dyDescent="0.2">
      <c r="A47" s="41">
        <f t="shared" si="0"/>
        <v>0.42000000000000021</v>
      </c>
      <c r="B47" s="40">
        <v>0.80600000000000005</v>
      </c>
      <c r="C47" s="40">
        <v>0.51</v>
      </c>
      <c r="D47" s="42">
        <v>1.0129999999999999</v>
      </c>
    </row>
    <row r="48" spans="1:4" x14ac:dyDescent="0.2">
      <c r="A48" s="41">
        <f t="shared" si="0"/>
        <v>0.43000000000000022</v>
      </c>
      <c r="B48" s="41">
        <v>0.81</v>
      </c>
      <c r="C48" s="41">
        <v>0.51600000000000001</v>
      </c>
      <c r="D48" s="42">
        <v>1.0209999999999999</v>
      </c>
    </row>
    <row r="49" spans="1:4" x14ac:dyDescent="0.2">
      <c r="A49" s="41">
        <f t="shared" si="0"/>
        <v>0.44000000000000022</v>
      </c>
      <c r="B49" s="41">
        <v>0.81599999999999995</v>
      </c>
      <c r="C49" s="41">
        <v>0.52300000000000002</v>
      </c>
      <c r="D49" s="42">
        <v>1.0289999999999999</v>
      </c>
    </row>
    <row r="50" spans="1:4" x14ac:dyDescent="0.2">
      <c r="A50" s="41">
        <f t="shared" si="0"/>
        <v>0.45000000000000023</v>
      </c>
      <c r="B50" s="41">
        <v>0.82199999999999995</v>
      </c>
      <c r="C50" s="41">
        <v>0.53</v>
      </c>
      <c r="D50" s="42">
        <v>1.0369999999999999</v>
      </c>
    </row>
    <row r="51" spans="1:4" x14ac:dyDescent="0.2">
      <c r="A51" s="41">
        <f t="shared" si="0"/>
        <v>0.46000000000000024</v>
      </c>
      <c r="B51" s="41">
        <v>0.83</v>
      </c>
      <c r="C51" s="41">
        <v>0.53600000000000003</v>
      </c>
      <c r="D51" s="42">
        <v>1.0449999999999999</v>
      </c>
    </row>
    <row r="52" spans="1:4" x14ac:dyDescent="0.2">
      <c r="A52" s="41">
        <f t="shared" si="0"/>
        <v>0.47000000000000025</v>
      </c>
      <c r="B52" s="41">
        <v>0.83399999999999996</v>
      </c>
      <c r="C52" s="41">
        <v>0.54200000000000004</v>
      </c>
      <c r="D52" s="42">
        <v>1.052</v>
      </c>
    </row>
    <row r="53" spans="1:4" x14ac:dyDescent="0.2">
      <c r="A53" s="41">
        <f t="shared" si="0"/>
        <v>0.48000000000000026</v>
      </c>
      <c r="B53" s="41">
        <v>0.84</v>
      </c>
      <c r="C53" s="41">
        <v>0.55000000000000004</v>
      </c>
      <c r="D53" s="42">
        <v>1.0589999999999999</v>
      </c>
    </row>
    <row r="54" spans="1:4" x14ac:dyDescent="0.2">
      <c r="A54" s="41">
        <f t="shared" si="0"/>
        <v>0.49000000000000027</v>
      </c>
      <c r="B54" s="41">
        <v>0.84499999999999997</v>
      </c>
      <c r="C54" s="41">
        <v>0.55700000000000005</v>
      </c>
      <c r="D54" s="42">
        <v>1.0669999999999999</v>
      </c>
    </row>
    <row r="55" spans="1:4" x14ac:dyDescent="0.2">
      <c r="A55" s="43">
        <f t="shared" si="0"/>
        <v>0.50000000000000022</v>
      </c>
      <c r="B55" s="41">
        <v>0.85</v>
      </c>
      <c r="C55" s="41">
        <v>0.56299999999999994</v>
      </c>
      <c r="D55" s="42">
        <v>1.0740000000000001</v>
      </c>
    </row>
    <row r="56" spans="1:4" x14ac:dyDescent="0.2">
      <c r="A56" s="41">
        <f t="shared" si="0"/>
        <v>0.51000000000000023</v>
      </c>
      <c r="B56" s="41">
        <v>0.85499999999999998</v>
      </c>
      <c r="C56" s="41">
        <v>0.56999999999999995</v>
      </c>
      <c r="D56" s="42">
        <v>1.08</v>
      </c>
    </row>
    <row r="57" spans="1:4" x14ac:dyDescent="0.2">
      <c r="A57" s="41">
        <f t="shared" si="0"/>
        <v>0.52000000000000024</v>
      </c>
      <c r="B57" s="41">
        <v>0.86</v>
      </c>
      <c r="C57" s="41">
        <v>0.57599999999999996</v>
      </c>
      <c r="D57" s="42">
        <v>1.087</v>
      </c>
    </row>
    <row r="58" spans="1:4" x14ac:dyDescent="0.2">
      <c r="A58" s="41">
        <f t="shared" si="0"/>
        <v>0.53000000000000025</v>
      </c>
      <c r="B58" s="41">
        <v>0.86499999999999999</v>
      </c>
      <c r="C58" s="41">
        <v>0.58199999999999996</v>
      </c>
      <c r="D58" s="42">
        <v>1.093</v>
      </c>
    </row>
    <row r="59" spans="1:4" x14ac:dyDescent="0.2">
      <c r="A59" s="41">
        <f t="shared" si="0"/>
        <v>0.54000000000000026</v>
      </c>
      <c r="B59" s="41">
        <v>0.87</v>
      </c>
      <c r="C59" s="41">
        <v>0.58799999999999997</v>
      </c>
      <c r="D59" s="42">
        <v>1.1000000000000001</v>
      </c>
    </row>
    <row r="60" spans="1:4" x14ac:dyDescent="0.2">
      <c r="A60" s="41">
        <f t="shared" si="0"/>
        <v>0.55000000000000027</v>
      </c>
      <c r="B60" s="41">
        <v>0.875</v>
      </c>
      <c r="C60" s="41">
        <v>0.59399999999999997</v>
      </c>
      <c r="D60" s="42">
        <v>1.1060000000000001</v>
      </c>
    </row>
    <row r="61" spans="1:4" x14ac:dyDescent="0.2">
      <c r="A61" s="41">
        <f t="shared" si="0"/>
        <v>0.56000000000000028</v>
      </c>
      <c r="B61" s="41">
        <v>0.88</v>
      </c>
      <c r="C61" s="41">
        <v>0.60099999999999998</v>
      </c>
      <c r="D61" s="42">
        <v>1.1120000000000001</v>
      </c>
    </row>
    <row r="62" spans="1:4" x14ac:dyDescent="0.2">
      <c r="A62" s="41">
        <f t="shared" si="0"/>
        <v>0.57000000000000028</v>
      </c>
      <c r="B62" s="41">
        <v>0.88500000000000001</v>
      </c>
      <c r="C62" s="41">
        <v>0.60799999999999998</v>
      </c>
      <c r="D62" s="42">
        <v>1.1180000000000001</v>
      </c>
    </row>
    <row r="63" spans="1:4" x14ac:dyDescent="0.2">
      <c r="A63" s="41">
        <f t="shared" si="0"/>
        <v>0.58000000000000029</v>
      </c>
      <c r="B63" s="41">
        <v>0.89</v>
      </c>
      <c r="C63" s="41">
        <v>0.61499999999999999</v>
      </c>
      <c r="D63" s="42">
        <v>1.1240000000000001</v>
      </c>
    </row>
    <row r="64" spans="1:4" x14ac:dyDescent="0.2">
      <c r="A64" s="41">
        <f t="shared" si="0"/>
        <v>0.5900000000000003</v>
      </c>
      <c r="B64" s="41">
        <v>0.89500000000000002</v>
      </c>
      <c r="C64" s="41">
        <v>0.62</v>
      </c>
      <c r="D64" s="42">
        <v>1.129</v>
      </c>
    </row>
    <row r="65" spans="1:4" x14ac:dyDescent="0.2">
      <c r="A65" s="43">
        <f t="shared" si="0"/>
        <v>0.60000000000000031</v>
      </c>
      <c r="B65" s="41">
        <v>0.9</v>
      </c>
      <c r="C65" s="41">
        <v>0.626</v>
      </c>
      <c r="D65" s="42">
        <v>1.135</v>
      </c>
    </row>
    <row r="66" spans="1:4" x14ac:dyDescent="0.2">
      <c r="A66" s="41">
        <f t="shared" si="0"/>
        <v>0.61000000000000032</v>
      </c>
      <c r="B66" s="41">
        <v>0.90300000000000002</v>
      </c>
      <c r="C66" s="41">
        <v>0.63200000000000001</v>
      </c>
      <c r="D66" s="42">
        <v>1.1399999999999999</v>
      </c>
    </row>
    <row r="67" spans="1:4" x14ac:dyDescent="0.2">
      <c r="A67" s="41">
        <f t="shared" si="0"/>
        <v>0.62000000000000033</v>
      </c>
      <c r="B67" s="41">
        <v>0.90800000000000003</v>
      </c>
      <c r="C67" s="41">
        <v>0.63900000000000001</v>
      </c>
      <c r="D67" s="42">
        <v>1.145</v>
      </c>
    </row>
    <row r="68" spans="1:4" x14ac:dyDescent="0.2">
      <c r="A68" s="41">
        <f t="shared" si="0"/>
        <v>0.63000000000000034</v>
      </c>
      <c r="B68" s="41">
        <v>0.91300000000000003</v>
      </c>
      <c r="C68" s="41">
        <v>0.64500000000000002</v>
      </c>
      <c r="D68" s="42">
        <v>1.1499999999999999</v>
      </c>
    </row>
    <row r="69" spans="1:4" x14ac:dyDescent="0.2">
      <c r="A69" s="41">
        <f t="shared" si="0"/>
        <v>0.64000000000000035</v>
      </c>
      <c r="B69" s="41">
        <v>0.91800000000000004</v>
      </c>
      <c r="C69" s="41">
        <v>0.65100000000000002</v>
      </c>
      <c r="D69" s="42">
        <v>1.155</v>
      </c>
    </row>
    <row r="70" spans="1:4" x14ac:dyDescent="0.2">
      <c r="A70" s="41">
        <f t="shared" si="0"/>
        <v>0.65000000000000036</v>
      </c>
      <c r="B70" s="41">
        <v>0.92200000000000004</v>
      </c>
      <c r="C70" s="41">
        <v>0.65800000000000003</v>
      </c>
      <c r="D70" s="42">
        <v>1.159</v>
      </c>
    </row>
    <row r="71" spans="1:4" x14ac:dyDescent="0.2">
      <c r="A71" s="41">
        <f t="shared" si="0"/>
        <v>0.66000000000000036</v>
      </c>
      <c r="B71" s="41">
        <v>0.92700000000000005</v>
      </c>
      <c r="C71" s="41">
        <v>0.66600000000000004</v>
      </c>
      <c r="D71" s="42">
        <v>1.1639999999999999</v>
      </c>
    </row>
    <row r="72" spans="1:4" x14ac:dyDescent="0.2">
      <c r="A72" s="41">
        <f t="shared" si="0"/>
        <v>0.67000000000000037</v>
      </c>
      <c r="B72" s="41">
        <v>0.93100000000000005</v>
      </c>
      <c r="C72" s="41">
        <v>0.67200000000000004</v>
      </c>
      <c r="D72" s="42">
        <v>1.1679999999999999</v>
      </c>
    </row>
    <row r="73" spans="1:4" x14ac:dyDescent="0.2">
      <c r="A73" s="41">
        <f t="shared" si="0"/>
        <v>0.68000000000000038</v>
      </c>
      <c r="B73" s="41">
        <v>0.93600000000000005</v>
      </c>
      <c r="C73" s="41">
        <v>0.67800000000000005</v>
      </c>
      <c r="D73" s="42">
        <v>1.173</v>
      </c>
    </row>
    <row r="74" spans="1:4" x14ac:dyDescent="0.2">
      <c r="A74" s="41">
        <f t="shared" ref="A74:A108" si="1">A73+0.01</f>
        <v>0.69000000000000039</v>
      </c>
      <c r="B74" s="41">
        <v>0.94099999999999995</v>
      </c>
      <c r="C74" s="41">
        <v>0.68600000000000005</v>
      </c>
      <c r="D74" s="42">
        <v>1.177</v>
      </c>
    </row>
    <row r="75" spans="1:4" x14ac:dyDescent="0.2">
      <c r="A75" s="43">
        <f t="shared" si="1"/>
        <v>0.7000000000000004</v>
      </c>
      <c r="B75" s="41">
        <v>0.94499999999999995</v>
      </c>
      <c r="C75" s="41">
        <v>0.69199999999999995</v>
      </c>
      <c r="D75" s="42">
        <v>1.181</v>
      </c>
    </row>
    <row r="76" spans="1:4" x14ac:dyDescent="0.2">
      <c r="A76" s="41">
        <f t="shared" si="1"/>
        <v>0.71000000000000041</v>
      </c>
      <c r="B76" s="41">
        <v>0.95099999999999996</v>
      </c>
      <c r="C76" s="41">
        <v>0.69899999999999995</v>
      </c>
      <c r="D76" s="42">
        <v>1.1839999999999999</v>
      </c>
    </row>
    <row r="77" spans="1:4" x14ac:dyDescent="0.2">
      <c r="A77" s="41">
        <f t="shared" si="1"/>
        <v>0.72000000000000042</v>
      </c>
      <c r="B77" s="41">
        <v>0.95499999999999996</v>
      </c>
      <c r="C77" s="41">
        <v>0.70499999999999996</v>
      </c>
      <c r="D77" s="42">
        <v>1.1879999999999999</v>
      </c>
    </row>
    <row r="78" spans="1:4" x14ac:dyDescent="0.2">
      <c r="A78" s="41">
        <f t="shared" si="1"/>
        <v>0.73000000000000043</v>
      </c>
      <c r="B78" s="41">
        <v>0.95799999999999996</v>
      </c>
      <c r="C78" s="41">
        <v>0.71</v>
      </c>
      <c r="D78" s="42">
        <v>1.1910000000000001</v>
      </c>
    </row>
    <row r="79" spans="1:4" x14ac:dyDescent="0.2">
      <c r="A79" s="41">
        <f t="shared" si="1"/>
        <v>0.74000000000000044</v>
      </c>
      <c r="B79" s="41">
        <v>0.96099999999999997</v>
      </c>
      <c r="C79" s="41">
        <v>0.71899999999999997</v>
      </c>
      <c r="D79" s="42">
        <v>1.194</v>
      </c>
    </row>
    <row r="80" spans="1:4" x14ac:dyDescent="0.2">
      <c r="A80" s="41">
        <f t="shared" si="1"/>
        <v>0.75000000000000044</v>
      </c>
      <c r="B80" s="41">
        <v>0.96499999999999997</v>
      </c>
      <c r="C80" s="41">
        <v>0.72399999999999998</v>
      </c>
      <c r="D80" s="42">
        <v>1.1970000000000001</v>
      </c>
    </row>
    <row r="81" spans="1:4" x14ac:dyDescent="0.2">
      <c r="A81" s="41">
        <f t="shared" si="1"/>
        <v>0.76000000000000045</v>
      </c>
      <c r="B81" s="41">
        <v>0.96899999999999997</v>
      </c>
      <c r="C81" s="41">
        <v>0.73199999999999998</v>
      </c>
      <c r="D81" s="42">
        <v>1.2</v>
      </c>
    </row>
    <row r="82" spans="1:4" x14ac:dyDescent="0.2">
      <c r="A82" s="41">
        <f t="shared" si="1"/>
        <v>0.77000000000000046</v>
      </c>
      <c r="B82" s="41">
        <v>0.97199999999999998</v>
      </c>
      <c r="C82" s="41">
        <v>0.73799999999999999</v>
      </c>
      <c r="D82" s="42">
        <v>1.202</v>
      </c>
    </row>
    <row r="83" spans="1:4" x14ac:dyDescent="0.2">
      <c r="A83" s="41">
        <f t="shared" si="1"/>
        <v>0.78000000000000047</v>
      </c>
      <c r="B83" s="41">
        <v>0.97499999999999998</v>
      </c>
      <c r="C83" s="41">
        <v>0.74299999999999999</v>
      </c>
      <c r="D83" s="42">
        <v>1.2050000000000001</v>
      </c>
    </row>
    <row r="84" spans="1:4" x14ac:dyDescent="0.2">
      <c r="A84" s="41">
        <f t="shared" si="1"/>
        <v>0.79000000000000048</v>
      </c>
      <c r="B84" s="41">
        <v>0.98</v>
      </c>
      <c r="C84" s="41">
        <v>0.75</v>
      </c>
      <c r="D84" s="42">
        <v>1.2070000000000001</v>
      </c>
    </row>
    <row r="85" spans="1:4" x14ac:dyDescent="0.2">
      <c r="A85" s="43">
        <f t="shared" si="1"/>
        <v>0.80000000000000049</v>
      </c>
      <c r="B85" s="40">
        <v>0.98399999999999999</v>
      </c>
      <c r="C85" s="40">
        <v>0.75600000000000001</v>
      </c>
      <c r="D85" s="42">
        <v>1.2090000000000001</v>
      </c>
    </row>
    <row r="86" spans="1:4" x14ac:dyDescent="0.2">
      <c r="A86" s="41">
        <f t="shared" si="1"/>
        <v>0.8100000000000005</v>
      </c>
      <c r="B86" s="40">
        <v>0.98699999999999999</v>
      </c>
      <c r="C86" s="40">
        <v>0.76300000000000001</v>
      </c>
      <c r="D86" s="42">
        <v>1.2110000000000001</v>
      </c>
    </row>
    <row r="87" spans="1:4" x14ac:dyDescent="0.2">
      <c r="A87" s="41">
        <f t="shared" si="1"/>
        <v>0.82000000000000051</v>
      </c>
      <c r="B87" s="41">
        <v>0.99</v>
      </c>
      <c r="C87" s="41">
        <v>0.77</v>
      </c>
      <c r="D87" s="42">
        <v>1.2130000000000001</v>
      </c>
    </row>
    <row r="88" spans="1:4" x14ac:dyDescent="0.2">
      <c r="A88" s="41">
        <f t="shared" si="1"/>
        <v>0.83000000000000052</v>
      </c>
      <c r="B88" s="41">
        <v>0.99299999999999999</v>
      </c>
      <c r="C88" s="41">
        <v>0.77800000000000002</v>
      </c>
      <c r="D88" s="42">
        <v>1.214</v>
      </c>
    </row>
    <row r="89" spans="1:4" x14ac:dyDescent="0.2">
      <c r="A89" s="41">
        <f t="shared" si="1"/>
        <v>0.84000000000000052</v>
      </c>
      <c r="B89" s="41">
        <v>0.997</v>
      </c>
      <c r="C89" s="41">
        <v>0.78500000000000003</v>
      </c>
      <c r="D89" s="42">
        <v>1.2150000000000001</v>
      </c>
    </row>
    <row r="90" spans="1:4" x14ac:dyDescent="0.2">
      <c r="A90" s="41">
        <f t="shared" si="1"/>
        <v>0.85000000000000053</v>
      </c>
      <c r="B90" s="41">
        <v>1.0009999999999999</v>
      </c>
      <c r="C90" s="41">
        <v>0.79100000000000004</v>
      </c>
      <c r="D90" s="42">
        <v>1.216</v>
      </c>
    </row>
    <row r="91" spans="1:4" x14ac:dyDescent="0.2">
      <c r="A91" s="41">
        <f t="shared" si="1"/>
        <v>0.86000000000000054</v>
      </c>
      <c r="B91" s="41">
        <v>1.0049999999999999</v>
      </c>
      <c r="C91" s="41">
        <v>0.79800000000000004</v>
      </c>
      <c r="D91" s="42">
        <v>1.2170000000000001</v>
      </c>
    </row>
    <row r="92" spans="1:4" x14ac:dyDescent="0.2">
      <c r="A92" s="41">
        <f t="shared" si="1"/>
        <v>0.87000000000000055</v>
      </c>
      <c r="B92" s="41">
        <v>1.0069999999999999</v>
      </c>
      <c r="C92" s="41">
        <v>0.80400000000000005</v>
      </c>
      <c r="D92" s="42">
        <v>1.2170000000000001</v>
      </c>
    </row>
    <row r="93" spans="1:4" x14ac:dyDescent="0.2">
      <c r="A93" s="41">
        <f t="shared" si="1"/>
        <v>0.88000000000000056</v>
      </c>
      <c r="B93" s="41">
        <v>1.0109999999999999</v>
      </c>
      <c r="C93" s="41">
        <v>0.81299999999999994</v>
      </c>
      <c r="D93" s="42">
        <v>1.2170000000000001</v>
      </c>
    </row>
    <row r="94" spans="1:4" x14ac:dyDescent="0.2">
      <c r="A94" s="41">
        <f t="shared" si="1"/>
        <v>0.89000000000000057</v>
      </c>
      <c r="B94" s="41">
        <v>1.0149999999999999</v>
      </c>
      <c r="C94" s="41">
        <v>0.82</v>
      </c>
      <c r="D94" s="42">
        <v>1.2170000000000001</v>
      </c>
    </row>
    <row r="95" spans="1:4" x14ac:dyDescent="0.2">
      <c r="A95" s="43">
        <f t="shared" si="1"/>
        <v>0.90000000000000058</v>
      </c>
      <c r="B95" s="41">
        <v>1.018</v>
      </c>
      <c r="C95" s="41">
        <v>0.82599999999999996</v>
      </c>
      <c r="D95" s="42">
        <v>1.2170000000000001</v>
      </c>
    </row>
    <row r="96" spans="1:4" x14ac:dyDescent="0.2">
      <c r="A96" s="41">
        <f t="shared" si="1"/>
        <v>0.91000000000000059</v>
      </c>
      <c r="B96" s="41">
        <v>1.0209999999999999</v>
      </c>
      <c r="C96" s="41">
        <v>0.83499999999999996</v>
      </c>
      <c r="D96" s="42">
        <v>1.216</v>
      </c>
    </row>
    <row r="97" spans="1:4" x14ac:dyDescent="0.2">
      <c r="A97" s="41">
        <f t="shared" si="1"/>
        <v>0.9200000000000006</v>
      </c>
      <c r="B97" s="41">
        <v>1.024</v>
      </c>
      <c r="C97" s="41">
        <v>0.84299999999999997</v>
      </c>
      <c r="D97" s="42">
        <v>1.2150000000000001</v>
      </c>
    </row>
    <row r="98" spans="1:4" x14ac:dyDescent="0.2">
      <c r="A98" s="41">
        <f t="shared" si="1"/>
        <v>0.9300000000000006</v>
      </c>
      <c r="B98" s="41">
        <v>1.0269999999999999</v>
      </c>
      <c r="C98" s="41">
        <v>0.85199999999999998</v>
      </c>
      <c r="D98" s="42">
        <v>1.214</v>
      </c>
    </row>
    <row r="99" spans="1:4" x14ac:dyDescent="0.2">
      <c r="A99" s="41">
        <f t="shared" si="1"/>
        <v>0.94000000000000061</v>
      </c>
      <c r="B99" s="41">
        <v>1.03</v>
      </c>
      <c r="C99" s="41">
        <v>0.86</v>
      </c>
      <c r="D99" s="42">
        <v>1.2130000000000001</v>
      </c>
    </row>
    <row r="100" spans="1:4" x14ac:dyDescent="0.2">
      <c r="A100" s="41">
        <f t="shared" si="1"/>
        <v>0.95000000000000062</v>
      </c>
      <c r="B100" s="41">
        <v>1.0329999999999999</v>
      </c>
      <c r="C100" s="41">
        <v>0.86799999999999999</v>
      </c>
      <c r="D100" s="42">
        <v>1.2110000000000001</v>
      </c>
    </row>
    <row r="101" spans="1:4" x14ac:dyDescent="0.2">
      <c r="A101" s="41">
        <f t="shared" si="1"/>
        <v>0.96000000000000063</v>
      </c>
      <c r="B101" s="41">
        <v>1.036</v>
      </c>
      <c r="C101" s="41">
        <v>0.876</v>
      </c>
      <c r="D101" s="42">
        <v>1.2090000000000001</v>
      </c>
    </row>
    <row r="102" spans="1:4" x14ac:dyDescent="0.2">
      <c r="A102" s="41">
        <f t="shared" si="1"/>
        <v>0.97000000000000064</v>
      </c>
      <c r="B102" s="41">
        <v>1.038</v>
      </c>
      <c r="C102" s="41">
        <v>0.88400000000000001</v>
      </c>
      <c r="D102" s="42">
        <v>1.206</v>
      </c>
    </row>
    <row r="103" spans="1:4" x14ac:dyDescent="0.2">
      <c r="A103" s="41">
        <f t="shared" si="1"/>
        <v>0.98000000000000065</v>
      </c>
      <c r="B103" s="41">
        <v>1.0389999999999999</v>
      </c>
      <c r="C103" s="41">
        <v>0.89200000000000002</v>
      </c>
      <c r="D103" s="42">
        <v>1.202</v>
      </c>
    </row>
    <row r="104" spans="1:4" x14ac:dyDescent="0.2">
      <c r="A104" s="41">
        <f t="shared" si="1"/>
        <v>0.99000000000000066</v>
      </c>
      <c r="B104" s="41">
        <v>1.04</v>
      </c>
      <c r="C104" s="41">
        <v>0.9</v>
      </c>
      <c r="D104" s="42">
        <v>1.198</v>
      </c>
    </row>
    <row r="105" spans="1:4" x14ac:dyDescent="0.2">
      <c r="A105" s="43">
        <f t="shared" si="1"/>
        <v>1.0000000000000007</v>
      </c>
      <c r="B105" s="41">
        <v>1.0409999999999999</v>
      </c>
      <c r="C105" s="41">
        <v>0.91400000000000003</v>
      </c>
      <c r="D105" s="42">
        <v>1.1930000000000001</v>
      </c>
    </row>
    <row r="106" spans="1:4" x14ac:dyDescent="0.2">
      <c r="A106" s="41">
        <f t="shared" si="1"/>
        <v>1.0100000000000007</v>
      </c>
      <c r="B106" s="41">
        <v>1.042</v>
      </c>
      <c r="C106" s="41">
        <v>0.92</v>
      </c>
      <c r="D106" s="42">
        <v>1.1870000000000001</v>
      </c>
    </row>
    <row r="107" spans="1:4" x14ac:dyDescent="0.2">
      <c r="A107" s="41">
        <f t="shared" si="1"/>
        <v>1.0200000000000007</v>
      </c>
      <c r="B107" s="41">
        <v>1.042</v>
      </c>
      <c r="C107" s="41">
        <v>0.93100000000000005</v>
      </c>
      <c r="D107" s="42">
        <v>1.179</v>
      </c>
    </row>
    <row r="108" spans="1:4" x14ac:dyDescent="0.2">
      <c r="A108" s="41">
        <f t="shared" si="1"/>
        <v>1.0300000000000007</v>
      </c>
      <c r="B108" s="41">
        <v>1.042</v>
      </c>
      <c r="C108" s="41">
        <v>0.94199999999999995</v>
      </c>
      <c r="D108" s="42">
        <v>1.1679999999999999</v>
      </c>
    </row>
  </sheetData>
  <mergeCells count="2">
    <mergeCell ref="A1:D1"/>
    <mergeCell ref="A2:D2"/>
  </mergeCells>
  <printOptions horizontalCentered="1"/>
  <pageMargins left="0.74803149606299213" right="0.74803149606299213" top="0.98425196850393704" bottom="0.98425196850393704" header="0" footer="0"/>
  <pageSetup paperSize="122" scale="91" fitToHeight="3" orientation="landscape" verticalDpi="300" r:id="rId1"/>
  <headerFooter alignWithMargins="0"/>
  <rowBreaks count="2" manualBreakCount="2">
    <brk id="44" max="16383" man="1"/>
    <brk id="92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9"/>
  <sheetViews>
    <sheetView zoomScale="85" zoomScaleNormal="85" workbookViewId="0">
      <selection activeCell="P1" sqref="P1"/>
    </sheetView>
  </sheetViews>
  <sheetFormatPr baseColWidth="10" defaultRowHeight="15" x14ac:dyDescent="0.25"/>
  <cols>
    <col min="1" max="2" width="6.7109375" customWidth="1"/>
    <col min="3" max="3" width="8.42578125" customWidth="1"/>
    <col min="4" max="4" width="18.7109375" customWidth="1"/>
    <col min="5" max="5" width="12.85546875" customWidth="1"/>
    <col min="6" max="11" width="6" customWidth="1"/>
    <col min="12" max="12" width="14.85546875" customWidth="1"/>
    <col min="13" max="13" width="13.7109375" customWidth="1"/>
  </cols>
  <sheetData>
    <row r="1" spans="2:19" ht="49.5" customHeight="1" x14ac:dyDescent="0.25">
      <c r="S1" s="25" t="s">
        <v>98</v>
      </c>
    </row>
    <row r="2" spans="2:19" ht="15" customHeight="1" x14ac:dyDescent="0.25">
      <c r="C2" s="254" t="s">
        <v>84</v>
      </c>
      <c r="D2" s="254"/>
      <c r="E2" s="254"/>
      <c r="F2" s="254"/>
      <c r="G2" s="254"/>
      <c r="H2" s="254"/>
      <c r="I2" s="254"/>
      <c r="J2" s="254"/>
      <c r="K2" s="254"/>
      <c r="L2" s="254"/>
      <c r="M2" s="254"/>
    </row>
    <row r="3" spans="2:19" ht="15.75" customHeight="1" x14ac:dyDescent="0.25">
      <c r="C3" s="254" t="s">
        <v>89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</row>
    <row r="4" spans="2:19" ht="15.75" customHeight="1" thickBot="1" x14ac:dyDescent="0.3">
      <c r="B4" s="89"/>
      <c r="C4" s="114"/>
      <c r="D4" s="114"/>
      <c r="E4" s="114"/>
      <c r="F4" s="89"/>
      <c r="G4" s="89"/>
      <c r="H4" s="89"/>
      <c r="I4" s="89"/>
      <c r="J4" s="89"/>
      <c r="K4" s="89"/>
      <c r="L4" s="89"/>
      <c r="M4" s="89"/>
      <c r="N4" s="89"/>
    </row>
    <row r="5" spans="2:19" ht="15" customHeight="1" x14ac:dyDescent="0.25">
      <c r="B5" s="89"/>
      <c r="C5" s="115"/>
      <c r="D5" s="115"/>
      <c r="E5" s="116" t="s">
        <v>85</v>
      </c>
      <c r="F5" s="95">
        <v>1</v>
      </c>
      <c r="G5" s="95">
        <v>2</v>
      </c>
      <c r="H5" s="95">
        <v>5</v>
      </c>
      <c r="I5" s="95">
        <v>6</v>
      </c>
      <c r="J5" s="95">
        <v>7</v>
      </c>
      <c r="K5" s="95">
        <v>10</v>
      </c>
      <c r="L5" s="255" t="s">
        <v>88</v>
      </c>
      <c r="M5" s="257" t="s">
        <v>87</v>
      </c>
      <c r="N5" s="89"/>
    </row>
    <row r="6" spans="2:19" ht="15.75" thickBot="1" x14ac:dyDescent="0.3">
      <c r="B6" s="89"/>
      <c r="C6" s="115"/>
      <c r="D6" s="115"/>
      <c r="E6" s="117" t="s">
        <v>86</v>
      </c>
      <c r="F6" s="118">
        <v>49.3</v>
      </c>
      <c r="G6" s="118">
        <v>49.2</v>
      </c>
      <c r="H6" s="118">
        <v>49.09</v>
      </c>
      <c r="I6" s="118">
        <v>49.09</v>
      </c>
      <c r="J6" s="118">
        <v>49.09</v>
      </c>
      <c r="K6" s="118">
        <v>48.9</v>
      </c>
      <c r="L6" s="256"/>
      <c r="M6" s="258"/>
      <c r="N6" s="89"/>
    </row>
    <row r="7" spans="2:19" ht="22.5" customHeight="1" x14ac:dyDescent="0.25">
      <c r="B7" s="89"/>
      <c r="C7" s="259" t="s">
        <v>97</v>
      </c>
      <c r="D7" s="261" t="s">
        <v>90</v>
      </c>
      <c r="E7" s="261"/>
      <c r="F7" s="95">
        <v>47.4</v>
      </c>
      <c r="G7" s="95">
        <v>47</v>
      </c>
      <c r="H7" s="95">
        <v>46.57</v>
      </c>
      <c r="I7" s="95">
        <v>46.17</v>
      </c>
      <c r="J7" s="95">
        <v>45.77</v>
      </c>
      <c r="K7" s="95">
        <v>45.39</v>
      </c>
      <c r="L7" s="263">
        <f>+'[1]LOGIKA AR'!$O$20</f>
        <v>56599914.677333318</v>
      </c>
      <c r="M7" s="267">
        <f>(1-L7/$L$7)</f>
        <v>0</v>
      </c>
      <c r="N7" s="89"/>
    </row>
    <row r="8" spans="2:19" ht="22.5" customHeight="1" thickBot="1" x14ac:dyDescent="0.3">
      <c r="B8" s="89"/>
      <c r="C8" s="260"/>
      <c r="D8" s="262" t="s">
        <v>91</v>
      </c>
      <c r="E8" s="262"/>
      <c r="F8" s="119">
        <v>8</v>
      </c>
      <c r="G8" s="119">
        <v>8</v>
      </c>
      <c r="H8" s="119">
        <v>8</v>
      </c>
      <c r="I8" s="119">
        <v>8</v>
      </c>
      <c r="J8" s="119">
        <v>8</v>
      </c>
      <c r="K8" s="104">
        <v>8</v>
      </c>
      <c r="L8" s="264"/>
      <c r="M8" s="268"/>
      <c r="N8" s="89"/>
    </row>
    <row r="9" spans="2:19" ht="9" customHeight="1" thickBot="1" x14ac:dyDescent="0.3">
      <c r="B9" s="89"/>
      <c r="C9" s="271"/>
      <c r="D9" s="272"/>
      <c r="E9" s="272"/>
      <c r="F9" s="272"/>
      <c r="G9" s="272"/>
      <c r="H9" s="272"/>
      <c r="I9" s="272"/>
      <c r="J9" s="272"/>
      <c r="K9" s="272"/>
      <c r="L9" s="272"/>
      <c r="M9" s="273"/>
      <c r="N9" s="89"/>
    </row>
    <row r="10" spans="2:19" ht="21.75" customHeight="1" x14ac:dyDescent="0.25">
      <c r="B10" s="89"/>
      <c r="C10" s="274" t="s">
        <v>92</v>
      </c>
      <c r="D10" s="120" t="s">
        <v>90</v>
      </c>
      <c r="E10" s="277" t="s">
        <v>93</v>
      </c>
      <c r="F10" s="95">
        <v>48.1</v>
      </c>
      <c r="G10" s="95">
        <v>47.5</v>
      </c>
      <c r="H10" s="95">
        <v>46.89</v>
      </c>
      <c r="I10" s="95">
        <v>46.4</v>
      </c>
      <c r="J10" s="95">
        <v>45.89</v>
      </c>
      <c r="K10" s="95">
        <v>44.89</v>
      </c>
      <c r="L10" s="263">
        <f>+'LOGIKA AN-1'!AP138</f>
        <v>49571587.121333376</v>
      </c>
      <c r="M10" s="267">
        <f>(1-L10/$L$7)</f>
        <v>0.12417558570657339</v>
      </c>
      <c r="N10" s="121"/>
      <c r="O10" s="84"/>
    </row>
    <row r="11" spans="2:19" ht="21.75" customHeight="1" x14ac:dyDescent="0.25">
      <c r="B11" s="89"/>
      <c r="C11" s="275"/>
      <c r="D11" s="122" t="s">
        <v>91</v>
      </c>
      <c r="E11" s="278"/>
      <c r="F11" s="123"/>
      <c r="G11" s="123">
        <v>6</v>
      </c>
      <c r="H11" s="123">
        <v>6</v>
      </c>
      <c r="I11" s="123">
        <v>6</v>
      </c>
      <c r="J11" s="123">
        <v>6</v>
      </c>
      <c r="K11" s="123">
        <v>6</v>
      </c>
      <c r="L11" s="265"/>
      <c r="M11" s="269"/>
      <c r="N11" s="121"/>
      <c r="O11" s="84"/>
      <c r="Q11" s="2"/>
    </row>
    <row r="12" spans="2:19" ht="21" customHeight="1" x14ac:dyDescent="0.25">
      <c r="B12" s="89"/>
      <c r="C12" s="275"/>
      <c r="D12" s="122" t="s">
        <v>90</v>
      </c>
      <c r="E12" s="278" t="s">
        <v>94</v>
      </c>
      <c r="F12" s="100">
        <v>48.1</v>
      </c>
      <c r="G12" s="100">
        <v>47.75</v>
      </c>
      <c r="H12" s="100">
        <v>47.02</v>
      </c>
      <c r="I12" s="100">
        <v>46.64</v>
      </c>
      <c r="J12" s="100">
        <v>45.8</v>
      </c>
      <c r="K12" s="100">
        <v>44.64</v>
      </c>
      <c r="L12" s="266">
        <f>+'LOGIKA AN-2'!AP123</f>
        <v>47489447.651000038</v>
      </c>
      <c r="M12" s="270">
        <f t="shared" ref="M12:M16" si="0">(1-L12/$L$7)</f>
        <v>0.16096255759872669</v>
      </c>
      <c r="N12" s="121"/>
      <c r="O12" s="85"/>
    </row>
    <row r="13" spans="2:19" ht="21" customHeight="1" x14ac:dyDescent="0.25">
      <c r="B13" s="89"/>
      <c r="C13" s="275"/>
      <c r="D13" s="122" t="s">
        <v>91</v>
      </c>
      <c r="E13" s="278"/>
      <c r="F13" s="100"/>
      <c r="G13" s="100">
        <v>6</v>
      </c>
      <c r="H13" s="100">
        <v>6</v>
      </c>
      <c r="I13" s="100">
        <v>8</v>
      </c>
      <c r="J13" s="100">
        <v>8</v>
      </c>
      <c r="K13" s="100">
        <v>8</v>
      </c>
      <c r="L13" s="265"/>
      <c r="M13" s="269"/>
      <c r="N13" s="121"/>
      <c r="O13" s="85"/>
    </row>
    <row r="14" spans="2:19" ht="21" customHeight="1" x14ac:dyDescent="0.25">
      <c r="B14" s="89"/>
      <c r="C14" s="275"/>
      <c r="D14" s="122" t="s">
        <v>90</v>
      </c>
      <c r="E14" s="278" t="s">
        <v>95</v>
      </c>
      <c r="F14" s="100">
        <v>48.1</v>
      </c>
      <c r="G14" s="100">
        <v>47.75</v>
      </c>
      <c r="H14" s="100">
        <v>47.14</v>
      </c>
      <c r="I14" s="100">
        <v>46.64</v>
      </c>
      <c r="J14" s="100">
        <v>45.77</v>
      </c>
      <c r="K14" s="100">
        <v>44.77</v>
      </c>
      <c r="L14" s="266">
        <f>+'LOGIKA AN-3'!AP128</f>
        <v>47376975.776000038</v>
      </c>
      <c r="M14" s="270">
        <f t="shared" si="0"/>
        <v>0.16294969619498045</v>
      </c>
      <c r="N14" s="121"/>
      <c r="O14" s="85"/>
    </row>
    <row r="15" spans="2:19" ht="21" customHeight="1" x14ac:dyDescent="0.25">
      <c r="B15" s="89"/>
      <c r="C15" s="275"/>
      <c r="D15" s="122" t="s">
        <v>91</v>
      </c>
      <c r="E15" s="278"/>
      <c r="F15" s="100"/>
      <c r="G15" s="100">
        <v>6</v>
      </c>
      <c r="H15" s="100">
        <v>6</v>
      </c>
      <c r="I15" s="100">
        <v>8</v>
      </c>
      <c r="J15" s="100">
        <v>8</v>
      </c>
      <c r="K15" s="100">
        <v>8</v>
      </c>
      <c r="L15" s="265"/>
      <c r="M15" s="269"/>
      <c r="N15" s="121"/>
      <c r="O15" s="85"/>
    </row>
    <row r="16" spans="2:19" ht="21" customHeight="1" x14ac:dyDescent="0.25">
      <c r="B16" s="89"/>
      <c r="C16" s="275"/>
      <c r="D16" s="122" t="s">
        <v>90</v>
      </c>
      <c r="E16" s="278" t="s">
        <v>96</v>
      </c>
      <c r="F16" s="100">
        <v>48.1</v>
      </c>
      <c r="G16" s="100">
        <v>47.75</v>
      </c>
      <c r="H16" s="100">
        <v>47.27</v>
      </c>
      <c r="I16" s="100">
        <v>46.64</v>
      </c>
      <c r="J16" s="100">
        <v>45.77</v>
      </c>
      <c r="K16" s="100">
        <v>44.77</v>
      </c>
      <c r="L16" s="266">
        <f>+'LOGIKA AN-4'!AP133</f>
        <v>47318925.776000038</v>
      </c>
      <c r="M16" s="270">
        <f t="shared" si="0"/>
        <v>0.16397531611562755</v>
      </c>
      <c r="N16" s="121"/>
      <c r="O16" s="85"/>
    </row>
    <row r="17" spans="2:14" ht="21" customHeight="1" thickBot="1" x14ac:dyDescent="0.3">
      <c r="B17" s="89"/>
      <c r="C17" s="276"/>
      <c r="D17" s="124" t="s">
        <v>91</v>
      </c>
      <c r="E17" s="279"/>
      <c r="F17" s="125"/>
      <c r="G17" s="104">
        <v>6</v>
      </c>
      <c r="H17" s="104">
        <v>6</v>
      </c>
      <c r="I17" s="104">
        <v>8</v>
      </c>
      <c r="J17" s="104">
        <v>8</v>
      </c>
      <c r="K17" s="104">
        <v>8</v>
      </c>
      <c r="L17" s="264"/>
      <c r="M17" s="268"/>
      <c r="N17" s="89"/>
    </row>
    <row r="18" spans="2:14" x14ac:dyDescent="0.2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</row>
    <row r="19" spans="2:14" x14ac:dyDescent="0.25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</row>
  </sheetData>
  <mergeCells count="23">
    <mergeCell ref="L10:L11"/>
    <mergeCell ref="L12:L13"/>
    <mergeCell ref="L14:L15"/>
    <mergeCell ref="L16:L17"/>
    <mergeCell ref="M7:M8"/>
    <mergeCell ref="M10:M11"/>
    <mergeCell ref="M12:M13"/>
    <mergeCell ref="M14:M15"/>
    <mergeCell ref="M16:M17"/>
    <mergeCell ref="C9:M9"/>
    <mergeCell ref="C10:C17"/>
    <mergeCell ref="E10:E11"/>
    <mergeCell ref="E12:E13"/>
    <mergeCell ref="E14:E15"/>
    <mergeCell ref="E16:E17"/>
    <mergeCell ref="C2:M2"/>
    <mergeCell ref="C3:M3"/>
    <mergeCell ref="L5:L6"/>
    <mergeCell ref="M5:M6"/>
    <mergeCell ref="C7:C8"/>
    <mergeCell ref="D7:E7"/>
    <mergeCell ref="D8:E8"/>
    <mergeCell ref="L7:L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LOGIKA AN-1</vt:lpstr>
      <vt:lpstr>LOGIKA AN-2</vt:lpstr>
      <vt:lpstr>LOGIKA AN-3</vt:lpstr>
      <vt:lpstr>LOGIKA AN-4</vt:lpstr>
      <vt:lpstr>$ alcantarillado</vt:lpstr>
      <vt:lpstr>Relaciones</vt:lpstr>
      <vt:lpstr>Eficiencias</vt:lpstr>
      <vt:lpstr>'$ alcantarillado'!Área_de_impresión</vt:lpstr>
      <vt:lpstr>'LOGIKA AN-1'!Área_de_impresión</vt:lpstr>
      <vt:lpstr>'LOGIKA AN-2'!Área_de_impresión</vt:lpstr>
      <vt:lpstr>'LOGIKA AN-3'!Área_de_impresión</vt:lpstr>
      <vt:lpstr>'LOGIKA AN-4'!Área_de_impresión</vt:lpstr>
      <vt:lpstr>Relaciones!Títulos_a_imprimir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HP-G60</dc:creator>
  <cp:lastModifiedBy>MARIAE</cp:lastModifiedBy>
  <cp:lastPrinted>2015-06-04T12:20:50Z</cp:lastPrinted>
  <dcterms:created xsi:type="dcterms:W3CDTF">2013-08-16T02:34:37Z</dcterms:created>
  <dcterms:modified xsi:type="dcterms:W3CDTF">2015-06-04T12:44:29Z</dcterms:modified>
</cp:coreProperties>
</file>