
<file path=[Content_Types].xml><?xml version="1.0" encoding="utf-8"?>
<Types xmlns="http://schemas.openxmlformats.org/package/2006/content-types">
  <Default Extension="bin" ContentType="application/vnd.ms-office.activeX"/>
  <Override PartName="/xl/printerSettings/printerSettings1.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emf" ContentType="image/x-emf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activeX/activeX2.xml" ContentType="application/vnd.ms-office.activeX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activeX/activeX1.xml" ContentType="application/vnd.ms-office.activeX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rinterSettings/printerSettings4.bin" ContentType="application/vnd.openxmlformats-officedocument.spreadsheetml.printerSettings"/>
  <Override PartName="/xl/printerSettings/printerSettings2.bin" ContentType="application/vnd.openxmlformats-officedocument.spreadsheetml.printerSettings"/>
  <Override PartName="/xl/printerSettings/printerSettings3.bin" ContentType="application/vnd.openxmlformats-officedocument.spreadsheetml.printerSettings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 codeName="{B7FE6334-C1A2-E50D-BD3D-5F4D41BBC2E3}"/>
  <workbookPr codeName="ThisWorkbook" defaultThemeVersion="124226"/>
  <bookViews>
    <workbookView xWindow="-15" yWindow="-15" windowWidth="10260" windowHeight="8115"/>
  </bookViews>
  <sheets>
    <sheet name="Datos de entrada" sheetId="15" r:id="rId1"/>
    <sheet name="Bombas coincidentes" sheetId="13" r:id="rId2"/>
    <sheet name="Linea de impulsión" sheetId="16" r:id="rId3"/>
    <sheet name="Pozo humedo" sheetId="17" r:id="rId4"/>
    <sheet name="Optimización" sheetId="18" r:id="rId5"/>
    <sheet name="K accesorios" sheetId="10" state="hidden" r:id="rId6"/>
    <sheet name="Datos curvas" sheetId="11" state="hidden" r:id="rId7"/>
    <sheet name="Prop. Agua" sheetId="3" state="hidden" r:id="rId8"/>
    <sheet name="Tuberías" sheetId="4" state="hidden" r:id="rId9"/>
    <sheet name="Base de datos" sheetId="14" r:id="rId10"/>
    <sheet name="APU" sheetId="19" r:id="rId11"/>
  </sheets>
  <functionGroups/>
  <definedNames>
    <definedName name="COSTO">Optimización!$S$7</definedName>
    <definedName name="H">'Bombas coincidentes'!$D$8</definedName>
    <definedName name="Q">'Bombas coincidentes'!$D$6</definedName>
    <definedName name="solver_adj" localSheetId="4" hidden="1">Optimización!$O$3:$P$4,Optimización!$N$6</definedName>
    <definedName name="solver_cvg" localSheetId="4" hidden="1">0.0001</definedName>
    <definedName name="solver_drv" localSheetId="4" hidden="1">1</definedName>
    <definedName name="solver_est" localSheetId="4" hidden="1">1</definedName>
    <definedName name="solver_itr" localSheetId="4" hidden="1">100</definedName>
    <definedName name="solver_lin" localSheetId="4" hidden="1">2</definedName>
    <definedName name="solver_neg" localSheetId="4" hidden="1">2</definedName>
    <definedName name="solver_num" localSheetId="4" hidden="1">0</definedName>
    <definedName name="solver_nwt" localSheetId="4" hidden="1">1</definedName>
    <definedName name="solver_opt" localSheetId="4" hidden="1">Optimización!$S$7</definedName>
    <definedName name="solver_pre" localSheetId="4" hidden="1">0.000001</definedName>
    <definedName name="solver_scl" localSheetId="4" hidden="1">2</definedName>
    <definedName name="solver_sho" localSheetId="4" hidden="1">2</definedName>
    <definedName name="solver_tim" localSheetId="4" hidden="1">100</definedName>
    <definedName name="solver_tol" localSheetId="4" hidden="1">0.05</definedName>
    <definedName name="solver_typ" localSheetId="4" hidden="1">2</definedName>
    <definedName name="solver_val" localSheetId="4" hidden="1">0</definedName>
  </definedNames>
  <calcPr calcId="125725"/>
</workbook>
</file>

<file path=xl/calcChain.xml><?xml version="1.0" encoding="utf-8"?>
<calcChain xmlns="http://schemas.openxmlformats.org/spreadsheetml/2006/main">
  <c r="AC81" i="18"/>
  <c r="AC80"/>
  <c r="AC79"/>
  <c r="AC78"/>
  <c r="AC77"/>
  <c r="AC76"/>
  <c r="AC75"/>
  <c r="AC74"/>
  <c r="AC73"/>
  <c r="AC72"/>
  <c r="AC71"/>
  <c r="AC70"/>
  <c r="AC67"/>
  <c r="AC66"/>
  <c r="AC65"/>
  <c r="AC64"/>
  <c r="AC63"/>
  <c r="AC62"/>
  <c r="AC61"/>
  <c r="AC60"/>
  <c r="AC59"/>
  <c r="AC58"/>
  <c r="AC57"/>
  <c r="AC14"/>
  <c r="AB8"/>
  <c r="U29"/>
  <c r="AD81" s="1"/>
  <c r="U28"/>
  <c r="AD80" s="1"/>
  <c r="U27"/>
  <c r="AD79" s="1"/>
  <c r="U26"/>
  <c r="AD78" s="1"/>
  <c r="U25"/>
  <c r="AD77" s="1"/>
  <c r="U24"/>
  <c r="AD76" s="1"/>
  <c r="U23"/>
  <c r="AD75" s="1"/>
  <c r="U22"/>
  <c r="AD74" s="1"/>
  <c r="U21"/>
  <c r="AD73" s="1"/>
  <c r="U20"/>
  <c r="AD72" s="1"/>
  <c r="U19"/>
  <c r="AD71" s="1"/>
  <c r="L29"/>
  <c r="AD67" s="1"/>
  <c r="L28"/>
  <c r="AD66" s="1"/>
  <c r="L27"/>
  <c r="AD65" s="1"/>
  <c r="L26"/>
  <c r="AD64" s="1"/>
  <c r="L25"/>
  <c r="AD63" s="1"/>
  <c r="L24"/>
  <c r="AD62" s="1"/>
  <c r="L23"/>
  <c r="AD61" s="1"/>
  <c r="L22"/>
  <c r="AD60" s="1"/>
  <c r="L21"/>
  <c r="AD59" s="1"/>
  <c r="L20"/>
  <c r="AD58" s="1"/>
  <c r="L19"/>
  <c r="AD57" s="1"/>
  <c r="B56"/>
  <c r="C56" s="1"/>
  <c r="D56" s="1"/>
  <c r="E56" s="1"/>
  <c r="F56" s="1"/>
  <c r="G56" l="1"/>
  <c r="B55"/>
  <c r="C55" s="1"/>
  <c r="D55" s="1"/>
  <c r="E55" s="1"/>
  <c r="F55" s="1"/>
  <c r="G55" l="1"/>
  <c r="B54"/>
  <c r="C54" s="1"/>
  <c r="D54" s="1"/>
  <c r="E54" s="1"/>
  <c r="F54" s="1"/>
  <c r="G54" l="1"/>
  <c r="B53"/>
  <c r="C53" s="1"/>
  <c r="D53" s="1"/>
  <c r="E53" s="1"/>
  <c r="F53" s="1"/>
  <c r="G53" l="1"/>
  <c r="B52"/>
  <c r="C52" s="1"/>
  <c r="D52" s="1"/>
  <c r="E52" s="1"/>
  <c r="F52" s="1"/>
  <c r="G52" l="1"/>
  <c r="B51"/>
  <c r="C51" s="1"/>
  <c r="D51" s="1"/>
  <c r="E51" s="1"/>
  <c r="F51" s="1"/>
  <c r="G51" l="1"/>
  <c r="B50"/>
  <c r="C50" s="1"/>
  <c r="B49" l="1"/>
  <c r="C49" s="1"/>
  <c r="B48" l="1"/>
  <c r="C48" s="1"/>
  <c r="B47" l="1"/>
  <c r="C47" s="1"/>
  <c r="B46" l="1"/>
  <c r="C46" s="1"/>
  <c r="B45" l="1"/>
  <c r="C45" s="1"/>
  <c r="B44" l="1"/>
  <c r="C44" s="1"/>
  <c r="B43" l="1"/>
  <c r="C43" s="1"/>
  <c r="B42" l="1"/>
  <c r="C42" s="1"/>
  <c r="B41" l="1"/>
  <c r="C41" s="1"/>
  <c r="B40" l="1"/>
  <c r="C40" s="1"/>
  <c r="B39" l="1"/>
  <c r="C39" s="1"/>
  <c r="B38" l="1"/>
  <c r="C38" s="1"/>
  <c r="B37" l="1"/>
  <c r="C37" s="1"/>
  <c r="B36" l="1"/>
  <c r="C36" s="1"/>
  <c r="B35" l="1"/>
  <c r="C35" s="1"/>
  <c r="B34" l="1"/>
  <c r="C34" s="1"/>
  <c r="B33" l="1"/>
  <c r="C33" s="1"/>
  <c r="B32" l="1"/>
  <c r="C32" s="1"/>
  <c r="B31" l="1"/>
  <c r="C31" s="1"/>
  <c r="B30" l="1"/>
  <c r="C30" s="1"/>
  <c r="B29" l="1"/>
  <c r="C29" s="1"/>
  <c r="B28" l="1"/>
  <c r="C28" s="1"/>
  <c r="B27" l="1"/>
  <c r="C27" s="1"/>
  <c r="B26" l="1"/>
  <c r="C26" s="1"/>
  <c r="B25" l="1"/>
  <c r="C25" s="1"/>
  <c r="B24" l="1"/>
  <c r="C24" s="1"/>
  <c r="B23" l="1"/>
  <c r="C23" s="1"/>
  <c r="B22" l="1"/>
  <c r="C22" s="1"/>
  <c r="B21" l="1"/>
  <c r="C21" s="1"/>
  <c r="B20" l="1"/>
  <c r="C20" s="1"/>
  <c r="B19" l="1"/>
  <c r="C19" s="1"/>
  <c r="B18" l="1"/>
  <c r="C18" s="1"/>
  <c r="B17"/>
  <c r="C17" l="1"/>
  <c r="P2" s="1"/>
  <c r="D6" i="17"/>
  <c r="D6" i="13"/>
  <c r="H18" i="16"/>
  <c r="W15" i="18" s="1"/>
  <c r="D18" i="16"/>
  <c r="N15" i="18" s="1"/>
  <c r="H9" i="16"/>
  <c r="S15" i="18" s="1"/>
  <c r="T15" s="1"/>
  <c r="D9" i="16"/>
  <c r="J15" i="18" s="1"/>
  <c r="K15" s="1"/>
  <c r="S4" i="19"/>
  <c r="S5" s="1"/>
  <c r="S6" s="1"/>
  <c r="S7" s="1"/>
  <c r="S8" s="1"/>
  <c r="S9" s="1"/>
  <c r="S10" s="1"/>
  <c r="S11" s="1"/>
  <c r="R5"/>
  <c r="R4"/>
  <c r="K6"/>
  <c r="K7" s="1"/>
  <c r="K8" s="1"/>
  <c r="K9" s="1"/>
  <c r="K10" s="1"/>
  <c r="K11" s="1"/>
  <c r="K12" s="1"/>
  <c r="K13" s="1"/>
  <c r="K14" s="1"/>
  <c r="K15" s="1"/>
  <c r="K16" s="1"/>
  <c r="K17" s="1"/>
  <c r="K18" s="1"/>
  <c r="K19" s="1"/>
  <c r="K20" s="1"/>
  <c r="K21" s="1"/>
  <c r="K22" s="1"/>
  <c r="K23" s="1"/>
  <c r="K24" s="1"/>
  <c r="K25" s="1"/>
  <c r="K26" s="1"/>
  <c r="K27" s="1"/>
  <c r="K28" s="1"/>
  <c r="K29" s="1"/>
  <c r="K30" s="1"/>
  <c r="K31" s="1"/>
  <c r="K32" s="1"/>
  <c r="K33" s="1"/>
  <c r="K34" s="1"/>
  <c r="K35" s="1"/>
  <c r="K36" s="1"/>
  <c r="K37" s="1"/>
  <c r="K38" s="1"/>
  <c r="K39" s="1"/>
  <c r="K40" s="1"/>
  <c r="K41" s="1"/>
  <c r="K42" s="1"/>
  <c r="K43" s="1"/>
  <c r="K44" s="1"/>
  <c r="K45" s="1"/>
  <c r="K46" s="1"/>
  <c r="K47" s="1"/>
  <c r="K48" s="1"/>
  <c r="K49" s="1"/>
  <c r="K50" s="1"/>
  <c r="K51" s="1"/>
  <c r="O5"/>
  <c r="O6" s="1"/>
  <c r="O7" s="1"/>
  <c r="O8" s="1"/>
  <c r="O9" s="1"/>
  <c r="O10" s="1"/>
  <c r="O11" s="1"/>
  <c r="O12" s="1"/>
  <c r="O13" s="1"/>
  <c r="O14" s="1"/>
  <c r="O15" s="1"/>
  <c r="O16" s="1"/>
  <c r="O17" s="1"/>
  <c r="O18" s="1"/>
  <c r="O19" s="1"/>
  <c r="O20" s="1"/>
  <c r="O21" s="1"/>
  <c r="O22" s="1"/>
  <c r="O23" s="1"/>
  <c r="O24" s="1"/>
  <c r="O25" s="1"/>
  <c r="O26" s="1"/>
  <c r="O27" s="1"/>
  <c r="O28" s="1"/>
  <c r="O29" s="1"/>
  <c r="O30" s="1"/>
  <c r="O31" s="1"/>
  <c r="O32" s="1"/>
  <c r="O33" s="1"/>
  <c r="O34" s="1"/>
  <c r="O35" s="1"/>
  <c r="O36" s="1"/>
  <c r="O37" s="1"/>
  <c r="O38" s="1"/>
  <c r="O39" s="1"/>
  <c r="O40" s="1"/>
  <c r="O41" s="1"/>
  <c r="O42" s="1"/>
  <c r="O43" s="1"/>
  <c r="O44" s="1"/>
  <c r="O45" s="1"/>
  <c r="O46" s="1"/>
  <c r="O47" s="1"/>
  <c r="O48" s="1"/>
  <c r="O49" s="1"/>
  <c r="O50" s="1"/>
  <c r="O51" s="1"/>
  <c r="N5"/>
  <c r="N6" s="1"/>
  <c r="N7" s="1"/>
  <c r="N8" s="1"/>
  <c r="N9" s="1"/>
  <c r="N10" s="1"/>
  <c r="N11" s="1"/>
  <c r="N12" s="1"/>
  <c r="N13" s="1"/>
  <c r="N14" s="1"/>
  <c r="N15" s="1"/>
  <c r="N16" s="1"/>
  <c r="N17" s="1"/>
  <c r="N18" s="1"/>
  <c r="N19" s="1"/>
  <c r="N20" s="1"/>
  <c r="N21" s="1"/>
  <c r="N22" s="1"/>
  <c r="N23" s="1"/>
  <c r="N24" s="1"/>
  <c r="N25" s="1"/>
  <c r="N26" s="1"/>
  <c r="N27" s="1"/>
  <c r="N28" s="1"/>
  <c r="N29" s="1"/>
  <c r="N30" s="1"/>
  <c r="N31" s="1"/>
  <c r="N32" s="1"/>
  <c r="N33" s="1"/>
  <c r="N34" s="1"/>
  <c r="N35" s="1"/>
  <c r="N36" s="1"/>
  <c r="N37" s="1"/>
  <c r="N38" s="1"/>
  <c r="N39" s="1"/>
  <c r="N40" s="1"/>
  <c r="N41" s="1"/>
  <c r="N42" s="1"/>
  <c r="N43" s="1"/>
  <c r="N44" s="1"/>
  <c r="N45" s="1"/>
  <c r="N46" s="1"/>
  <c r="N47" s="1"/>
  <c r="N48" s="1"/>
  <c r="N49" s="1"/>
  <c r="N50" s="1"/>
  <c r="N51" s="1"/>
  <c r="M5"/>
  <c r="M6" s="1"/>
  <c r="M7" s="1"/>
  <c r="M8" s="1"/>
  <c r="M9" s="1"/>
  <c r="M10" s="1"/>
  <c r="M11" s="1"/>
  <c r="M12" s="1"/>
  <c r="M13" s="1"/>
  <c r="M14" s="1"/>
  <c r="M15" s="1"/>
  <c r="M16" s="1"/>
  <c r="M17" s="1"/>
  <c r="M18" s="1"/>
  <c r="M19" s="1"/>
  <c r="M20" s="1"/>
  <c r="M21" s="1"/>
  <c r="M22" s="1"/>
  <c r="M23" s="1"/>
  <c r="M24" s="1"/>
  <c r="M25" s="1"/>
  <c r="M26" s="1"/>
  <c r="M27" s="1"/>
  <c r="M28" s="1"/>
  <c r="M29" s="1"/>
  <c r="M30" s="1"/>
  <c r="M31" s="1"/>
  <c r="M32" s="1"/>
  <c r="M33" s="1"/>
  <c r="M34" s="1"/>
  <c r="M35" s="1"/>
  <c r="M36" s="1"/>
  <c r="M37" s="1"/>
  <c r="M38" s="1"/>
  <c r="M39" s="1"/>
  <c r="M40" s="1"/>
  <c r="M41" s="1"/>
  <c r="M42" s="1"/>
  <c r="M43" s="1"/>
  <c r="M44" s="1"/>
  <c r="M45" s="1"/>
  <c r="M46" s="1"/>
  <c r="M47" s="1"/>
  <c r="M48" s="1"/>
  <c r="M49" s="1"/>
  <c r="M50" s="1"/>
  <c r="M51" s="1"/>
  <c r="L5"/>
  <c r="L6" s="1"/>
  <c r="L7" s="1"/>
  <c r="L8" s="1"/>
  <c r="L9" s="1"/>
  <c r="L10" s="1"/>
  <c r="L11" s="1"/>
  <c r="L12" s="1"/>
  <c r="L13" s="1"/>
  <c r="L14" s="1"/>
  <c r="L15" s="1"/>
  <c r="L16" s="1"/>
  <c r="L17" s="1"/>
  <c r="L18" s="1"/>
  <c r="L19" s="1"/>
  <c r="L20" s="1"/>
  <c r="L21" s="1"/>
  <c r="L22" s="1"/>
  <c r="L23" s="1"/>
  <c r="L24" s="1"/>
  <c r="L25" s="1"/>
  <c r="L26" s="1"/>
  <c r="L27" s="1"/>
  <c r="L28" s="1"/>
  <c r="L29" s="1"/>
  <c r="L30" s="1"/>
  <c r="L31" s="1"/>
  <c r="L32" s="1"/>
  <c r="L33" s="1"/>
  <c r="L34" s="1"/>
  <c r="L35" s="1"/>
  <c r="L36" s="1"/>
  <c r="L37" s="1"/>
  <c r="L38" s="1"/>
  <c r="L39" s="1"/>
  <c r="L40" s="1"/>
  <c r="L41" s="1"/>
  <c r="L42" s="1"/>
  <c r="L43" s="1"/>
  <c r="L44" s="1"/>
  <c r="L45" s="1"/>
  <c r="L46" s="1"/>
  <c r="L47" s="1"/>
  <c r="L48" s="1"/>
  <c r="L49" s="1"/>
  <c r="L50" s="1"/>
  <c r="L51" s="1"/>
  <c r="K5"/>
  <c r="J5"/>
  <c r="J6" s="1"/>
  <c r="J7" s="1"/>
  <c r="J8" s="1"/>
  <c r="J9" s="1"/>
  <c r="J10" s="1"/>
  <c r="J11" s="1"/>
  <c r="J12" s="1"/>
  <c r="J13" s="1"/>
  <c r="J14" s="1"/>
  <c r="J15" s="1"/>
  <c r="J16" s="1"/>
  <c r="J17" s="1"/>
  <c r="J18" s="1"/>
  <c r="J19" s="1"/>
  <c r="J20" s="1"/>
  <c r="J21" s="1"/>
  <c r="J22" s="1"/>
  <c r="J23" s="1"/>
  <c r="J24" s="1"/>
  <c r="J25" s="1"/>
  <c r="J26" s="1"/>
  <c r="J27" s="1"/>
  <c r="J28" s="1"/>
  <c r="J29" s="1"/>
  <c r="J30" s="1"/>
  <c r="J31" s="1"/>
  <c r="J32" s="1"/>
  <c r="J33" s="1"/>
  <c r="J34" s="1"/>
  <c r="J35" s="1"/>
  <c r="J36" s="1"/>
  <c r="J37" s="1"/>
  <c r="J38" s="1"/>
  <c r="J39" s="1"/>
  <c r="J40" s="1"/>
  <c r="J41" s="1"/>
  <c r="J42" s="1"/>
  <c r="J43" s="1"/>
  <c r="J44" s="1"/>
  <c r="J45" s="1"/>
  <c r="J46" s="1"/>
  <c r="J47" s="1"/>
  <c r="J48" s="1"/>
  <c r="J49" s="1"/>
  <c r="J50" s="1"/>
  <c r="J51" s="1"/>
  <c r="E5"/>
  <c r="E6" s="1"/>
  <c r="E7" s="1"/>
  <c r="E8" s="1"/>
  <c r="E9" s="1"/>
  <c r="E10" s="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E45" s="1"/>
  <c r="E46" s="1"/>
  <c r="E47" s="1"/>
  <c r="E48" s="1"/>
  <c r="E49" s="1"/>
  <c r="E50" s="1"/>
  <c r="E51" s="1"/>
  <c r="D5"/>
  <c r="D6" s="1"/>
  <c r="D7" s="1"/>
  <c r="D8" s="1"/>
  <c r="D9" s="1"/>
  <c r="D10" s="1"/>
  <c r="D11" s="1"/>
  <c r="D12" s="1"/>
  <c r="D13" s="1"/>
  <c r="D14" s="1"/>
  <c r="D15" s="1"/>
  <c r="D16" s="1"/>
  <c r="D17" s="1"/>
  <c r="D18" s="1"/>
  <c r="D19" s="1"/>
  <c r="D20" s="1"/>
  <c r="D21" s="1"/>
  <c r="D22" s="1"/>
  <c r="D23" s="1"/>
  <c r="D24" s="1"/>
  <c r="D25" s="1"/>
  <c r="D26" s="1"/>
  <c r="D27" s="1"/>
  <c r="D28" s="1"/>
  <c r="D29" s="1"/>
  <c r="D30" s="1"/>
  <c r="D31" s="1"/>
  <c r="D32" s="1"/>
  <c r="D33" s="1"/>
  <c r="D34" s="1"/>
  <c r="D35" s="1"/>
  <c r="D36" s="1"/>
  <c r="D37" s="1"/>
  <c r="D38" s="1"/>
  <c r="D39" s="1"/>
  <c r="D40" s="1"/>
  <c r="D41" s="1"/>
  <c r="D42" s="1"/>
  <c r="D43" s="1"/>
  <c r="D44" s="1"/>
  <c r="D45" s="1"/>
  <c r="D46" s="1"/>
  <c r="D47" s="1"/>
  <c r="D48" s="1"/>
  <c r="D49" s="1"/>
  <c r="D50" s="1"/>
  <c r="D51" s="1"/>
  <c r="C5"/>
  <c r="C6" s="1"/>
  <c r="C7" s="1"/>
  <c r="C8" s="1"/>
  <c r="C9" s="1"/>
  <c r="C10" s="1"/>
  <c r="C11" s="1"/>
  <c r="C12" s="1"/>
  <c r="C13" s="1"/>
  <c r="C14" s="1"/>
  <c r="C15" s="1"/>
  <c r="C16" s="1"/>
  <c r="C17" s="1"/>
  <c r="C18" s="1"/>
  <c r="C19" s="1"/>
  <c r="C20" s="1"/>
  <c r="C21" s="1"/>
  <c r="C22" s="1"/>
  <c r="C23" s="1"/>
  <c r="C24" s="1"/>
  <c r="C25" s="1"/>
  <c r="C26" s="1"/>
  <c r="C27" s="1"/>
  <c r="C28" s="1"/>
  <c r="C29" s="1"/>
  <c r="C30" s="1"/>
  <c r="C31" s="1"/>
  <c r="C32" s="1"/>
  <c r="C33" s="1"/>
  <c r="C34" s="1"/>
  <c r="C35" s="1"/>
  <c r="C36" s="1"/>
  <c r="C37" s="1"/>
  <c r="C38" s="1"/>
  <c r="C39" s="1"/>
  <c r="C40" s="1"/>
  <c r="C41" s="1"/>
  <c r="C42" s="1"/>
  <c r="C43" s="1"/>
  <c r="C44" s="1"/>
  <c r="C45" s="1"/>
  <c r="C46" s="1"/>
  <c r="C47" s="1"/>
  <c r="C48" s="1"/>
  <c r="C49" s="1"/>
  <c r="C50" s="1"/>
  <c r="C51" s="1"/>
  <c r="B5"/>
  <c r="B6" s="1"/>
  <c r="B7" s="1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F6"/>
  <c r="F7" s="1"/>
  <c r="F8" s="1"/>
  <c r="F9" s="1"/>
  <c r="F10" s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49" s="1"/>
  <c r="F50" s="1"/>
  <c r="F51" s="1"/>
  <c r="F5"/>
  <c r="G5"/>
  <c r="G6" s="1"/>
  <c r="G7" s="1"/>
  <c r="G8" s="1"/>
  <c r="G9" s="1"/>
  <c r="G10" s="1"/>
  <c r="G11" s="1"/>
  <c r="G12" s="1"/>
  <c r="D12" i="17"/>
  <c r="AC8" i="18" l="1"/>
  <c r="S18"/>
  <c r="S22"/>
  <c r="S27"/>
  <c r="AB79" s="1"/>
  <c r="S23"/>
  <c r="S19"/>
  <c r="S28"/>
  <c r="AB80" s="1"/>
  <c r="S24"/>
  <c r="S20"/>
  <c r="S29"/>
  <c r="AB81" s="1"/>
  <c r="S25"/>
  <c r="S21"/>
  <c r="S26"/>
  <c r="AB78" s="1"/>
  <c r="J28"/>
  <c r="AB66" s="1"/>
  <c r="J24"/>
  <c r="J20"/>
  <c r="J19"/>
  <c r="J29"/>
  <c r="AB67" s="1"/>
  <c r="J25"/>
  <c r="J21"/>
  <c r="J26"/>
  <c r="AB64" s="1"/>
  <c r="J22"/>
  <c r="J18"/>
  <c r="J27"/>
  <c r="AB65" s="1"/>
  <c r="J23"/>
  <c r="S12" i="19"/>
  <c r="S13" s="1"/>
  <c r="S14" s="1"/>
  <c r="S15" s="1"/>
  <c r="S16" s="1"/>
  <c r="S17" s="1"/>
  <c r="R6"/>
  <c r="R7" s="1"/>
  <c r="R8" s="1"/>
  <c r="R9" s="1"/>
  <c r="R10" s="1"/>
  <c r="R11" s="1"/>
  <c r="G13"/>
  <c r="G14" s="1"/>
  <c r="G15" s="1"/>
  <c r="G16" s="1"/>
  <c r="G17" s="1"/>
  <c r="G18" s="1"/>
  <c r="AI6" i="14"/>
  <c r="AI7"/>
  <c r="AI8" s="1"/>
  <c r="AI9" s="1"/>
  <c r="AI10" s="1"/>
  <c r="AI11" s="1"/>
  <c r="AI12" s="1"/>
  <c r="AI13" s="1"/>
  <c r="AI14" s="1"/>
  <c r="AI15" s="1"/>
  <c r="AI16" s="1"/>
  <c r="AI17" s="1"/>
  <c r="AI18" s="1"/>
  <c r="AI19" s="1"/>
  <c r="AI20" s="1"/>
  <c r="AI21" s="1"/>
  <c r="AI22" s="1"/>
  <c r="AI23" s="1"/>
  <c r="AI24" s="1"/>
  <c r="AI25" s="1"/>
  <c r="AI26" s="1"/>
  <c r="AI27" s="1"/>
  <c r="AI28" s="1"/>
  <c r="AI29" s="1"/>
  <c r="AI30" s="1"/>
  <c r="AI31" s="1"/>
  <c r="AI32" s="1"/>
  <c r="AI34" s="1"/>
  <c r="AI35" s="1"/>
  <c r="AI36" s="1"/>
  <c r="AI37" s="1"/>
  <c r="AI38" s="1"/>
  <c r="AI39" s="1"/>
  <c r="AI40" s="1"/>
  <c r="AI41" s="1"/>
  <c r="AI42" s="1"/>
  <c r="AI43" s="1"/>
  <c r="AI44" s="1"/>
  <c r="AI45" s="1"/>
  <c r="AI46" s="1"/>
  <c r="AI47" s="1"/>
  <c r="AI48" s="1"/>
  <c r="AI49" s="1"/>
  <c r="AI50" s="1"/>
  <c r="AI51" s="1"/>
  <c r="AI52" s="1"/>
  <c r="AI53" s="1"/>
  <c r="AI54" s="1"/>
  <c r="AI55" s="1"/>
  <c r="AI56" s="1"/>
  <c r="AI57" s="1"/>
  <c r="AI58" s="1"/>
  <c r="AI59" s="1"/>
  <c r="AI61" s="1"/>
  <c r="AI62" s="1"/>
  <c r="AI63" s="1"/>
  <c r="AI64" s="1"/>
  <c r="AI65" s="1"/>
  <c r="AI66" s="1"/>
  <c r="AI67" s="1"/>
  <c r="AI68" s="1"/>
  <c r="AI69" s="1"/>
  <c r="AI70" s="1"/>
  <c r="AI71" s="1"/>
  <c r="AI72" s="1"/>
  <c r="AI73" s="1"/>
  <c r="AI74" s="1"/>
  <c r="AI75" s="1"/>
  <c r="AI76" s="1"/>
  <c r="AI77" s="1"/>
  <c r="AI78" s="1"/>
  <c r="AI79" s="1"/>
  <c r="AI80" s="1"/>
  <c r="AI81" s="1"/>
  <c r="AI82" s="1"/>
  <c r="AI84" s="1"/>
  <c r="AI85" s="1"/>
  <c r="AI86" s="1"/>
  <c r="AI87" s="1"/>
  <c r="AI88" s="1"/>
  <c r="AI89" s="1"/>
  <c r="AI90" s="1"/>
  <c r="AI91" s="1"/>
  <c r="AI92" s="1"/>
  <c r="AI93" s="1"/>
  <c r="AI94" s="1"/>
  <c r="AI95" s="1"/>
  <c r="AI96" s="1"/>
  <c r="AI97" s="1"/>
  <c r="AI98" s="1"/>
  <c r="AI99" s="1"/>
  <c r="AI100" s="1"/>
  <c r="AI101" s="1"/>
  <c r="AI102" s="1"/>
  <c r="AI103" s="1"/>
  <c r="AI104" s="1"/>
  <c r="AI105" s="1"/>
  <c r="AI106" s="1"/>
  <c r="AI107" s="1"/>
  <c r="AI108" s="1"/>
  <c r="AI109" s="1"/>
  <c r="AI110" s="1"/>
  <c r="AI111" s="1"/>
  <c r="AI112" s="1"/>
  <c r="AI113" s="1"/>
  <c r="AI5"/>
  <c r="D13" i="17"/>
  <c r="W20" i="18" l="1"/>
  <c r="AF72" s="1"/>
  <c r="AB72"/>
  <c r="W23"/>
  <c r="AF75" s="1"/>
  <c r="AB75"/>
  <c r="V19"/>
  <c r="AE71" s="1"/>
  <c r="AB71"/>
  <c r="V18"/>
  <c r="AE70" s="1"/>
  <c r="AB70"/>
  <c r="W25"/>
  <c r="AF77" s="1"/>
  <c r="AB77"/>
  <c r="V22"/>
  <c r="AE74" s="1"/>
  <c r="AB74"/>
  <c r="W21"/>
  <c r="AF73" s="1"/>
  <c r="AB73"/>
  <c r="W24"/>
  <c r="AF76" s="1"/>
  <c r="AB76"/>
  <c r="M21"/>
  <c r="AE59" s="1"/>
  <c r="AB59"/>
  <c r="M20"/>
  <c r="AE58" s="1"/>
  <c r="AB58"/>
  <c r="N23"/>
  <c r="AF61" s="1"/>
  <c r="AB61"/>
  <c r="M19"/>
  <c r="AE57" s="1"/>
  <c r="AB57"/>
  <c r="N22"/>
  <c r="AF60" s="1"/>
  <c r="AB60"/>
  <c r="N18"/>
  <c r="AF14" s="1"/>
  <c r="AB14"/>
  <c r="N25"/>
  <c r="AF63" s="1"/>
  <c r="AB63"/>
  <c r="M24"/>
  <c r="AE62" s="1"/>
  <c r="AB62"/>
  <c r="W22"/>
  <c r="N19"/>
  <c r="M25"/>
  <c r="M23"/>
  <c r="V20"/>
  <c r="N24"/>
  <c r="M18"/>
  <c r="V23"/>
  <c r="V24"/>
  <c r="W18"/>
  <c r="V25"/>
  <c r="V21"/>
  <c r="W29"/>
  <c r="AF81" s="1"/>
  <c r="V29"/>
  <c r="AE81" s="1"/>
  <c r="W28"/>
  <c r="AF80" s="1"/>
  <c r="V28"/>
  <c r="AE80" s="1"/>
  <c r="W27"/>
  <c r="AF79" s="1"/>
  <c r="V27"/>
  <c r="AE79" s="1"/>
  <c r="W26"/>
  <c r="AF78" s="1"/>
  <c r="V26"/>
  <c r="AE78" s="1"/>
  <c r="W19"/>
  <c r="N29"/>
  <c r="AF67" s="1"/>
  <c r="M29"/>
  <c r="AE67" s="1"/>
  <c r="N28"/>
  <c r="AF66" s="1"/>
  <c r="M28"/>
  <c r="AE66" s="1"/>
  <c r="M22"/>
  <c r="N20"/>
  <c r="N21"/>
  <c r="N27"/>
  <c r="AF65" s="1"/>
  <c r="M27"/>
  <c r="AE65" s="1"/>
  <c r="N26"/>
  <c r="AF64" s="1"/>
  <c r="M26"/>
  <c r="AE64" s="1"/>
  <c r="S18" i="19"/>
  <c r="S19" s="1"/>
  <c r="S20" s="1"/>
  <c r="S21" s="1"/>
  <c r="S22" s="1"/>
  <c r="S23" s="1"/>
  <c r="R12"/>
  <c r="R13" s="1"/>
  <c r="R14" s="1"/>
  <c r="R15" s="1"/>
  <c r="R16" s="1"/>
  <c r="R17" s="1"/>
  <c r="G19"/>
  <c r="G20" s="1"/>
  <c r="G21" s="1"/>
  <c r="G22" s="1"/>
  <c r="G23" s="1"/>
  <c r="G24" s="1"/>
  <c r="X18" i="18" l="1"/>
  <c r="AF70"/>
  <c r="O19"/>
  <c r="AF57"/>
  <c r="X25"/>
  <c r="AE77"/>
  <c r="O18"/>
  <c r="AG14" s="1"/>
  <c r="AE14"/>
  <c r="X19"/>
  <c r="AF71"/>
  <c r="X24"/>
  <c r="AE76"/>
  <c r="X20"/>
  <c r="AE72"/>
  <c r="X22"/>
  <c r="AF74"/>
  <c r="O22"/>
  <c r="AE60"/>
  <c r="O24"/>
  <c r="AF62"/>
  <c r="O20"/>
  <c r="AF58"/>
  <c r="O25"/>
  <c r="AE63"/>
  <c r="O21"/>
  <c r="AF59"/>
  <c r="X21"/>
  <c r="AE73"/>
  <c r="X23"/>
  <c r="AE75"/>
  <c r="O23"/>
  <c r="AE61"/>
  <c r="O27"/>
  <c r="X26"/>
  <c r="X28"/>
  <c r="X27"/>
  <c r="X29"/>
  <c r="O29"/>
  <c r="O26"/>
  <c r="O28"/>
  <c r="S24" i="19"/>
  <c r="S25" s="1"/>
  <c r="S26" s="1"/>
  <c r="R18"/>
  <c r="R19" s="1"/>
  <c r="R20" s="1"/>
  <c r="R21" s="1"/>
  <c r="R22" s="1"/>
  <c r="R23" s="1"/>
  <c r="G25"/>
  <c r="G26" s="1"/>
  <c r="G27" s="1"/>
  <c r="G28" s="1"/>
  <c r="G29" s="1"/>
  <c r="G30" s="1"/>
  <c r="X4" i="18"/>
  <c r="X5" s="1"/>
  <c r="X6" s="1"/>
  <c r="W13" i="13"/>
  <c r="U13" i="11"/>
  <c r="D9" i="17"/>
  <c r="D8"/>
  <c r="D15" s="1"/>
  <c r="D7"/>
  <c r="P27" i="18" l="1"/>
  <c r="AH65" s="1"/>
  <c r="AG65"/>
  <c r="Y23"/>
  <c r="AH75" s="1"/>
  <c r="AG75"/>
  <c r="P20"/>
  <c r="AH58" s="1"/>
  <c r="AG58"/>
  <c r="P22"/>
  <c r="AH60" s="1"/>
  <c r="AG60"/>
  <c r="Y20"/>
  <c r="AH72" s="1"/>
  <c r="AG72"/>
  <c r="Y19"/>
  <c r="AH71" s="1"/>
  <c r="AG71"/>
  <c r="Y25"/>
  <c r="AH77" s="1"/>
  <c r="AG77"/>
  <c r="AG70"/>
  <c r="P29"/>
  <c r="AH67" s="1"/>
  <c r="AG67"/>
  <c r="Y26"/>
  <c r="AH78" s="1"/>
  <c r="AG78"/>
  <c r="P26"/>
  <c r="AH64" s="1"/>
  <c r="AG64"/>
  <c r="Y28"/>
  <c r="AH80" s="1"/>
  <c r="AG80"/>
  <c r="P23"/>
  <c r="AH61" s="1"/>
  <c r="AG61"/>
  <c r="Y21"/>
  <c r="AH73" s="1"/>
  <c r="AG73"/>
  <c r="P25"/>
  <c r="AH63" s="1"/>
  <c r="AG63"/>
  <c r="P24"/>
  <c r="AH62" s="1"/>
  <c r="AG62"/>
  <c r="Y22"/>
  <c r="AH74" s="1"/>
  <c r="AG74"/>
  <c r="Y24"/>
  <c r="AH76" s="1"/>
  <c r="AG76"/>
  <c r="P19"/>
  <c r="AH57" s="1"/>
  <c r="AG57"/>
  <c r="Y29"/>
  <c r="AH81" s="1"/>
  <c r="AG81"/>
  <c r="P21"/>
  <c r="AH59" s="1"/>
  <c r="AG59"/>
  <c r="P28"/>
  <c r="AH66" s="1"/>
  <c r="AG66"/>
  <c r="Y27"/>
  <c r="AH79" s="1"/>
  <c r="AG79"/>
  <c r="R24" i="19"/>
  <c r="R25" s="1"/>
  <c r="R26" s="1"/>
  <c r="G31"/>
  <c r="G32" s="1"/>
  <c r="G33" s="1"/>
  <c r="G34" s="1"/>
  <c r="G35" s="1"/>
  <c r="G36" s="1"/>
  <c r="I11" i="17"/>
  <c r="D16"/>
  <c r="L12"/>
  <c r="L7"/>
  <c r="H19" i="16"/>
  <c r="D19"/>
  <c r="D7"/>
  <c r="J10" i="13" s="1"/>
  <c r="D6" i="16"/>
  <c r="H10" s="1"/>
  <c r="U18" i="18" s="1"/>
  <c r="AD70" s="1"/>
  <c r="U22" i="11"/>
  <c r="V22" s="1"/>
  <c r="M5"/>
  <c r="Y18" i="18" l="1"/>
  <c r="AH70" s="1"/>
  <c r="AH82" s="1"/>
  <c r="G37" i="19"/>
  <c r="G38" s="1"/>
  <c r="G39" s="1"/>
  <c r="G40" s="1"/>
  <c r="G41" s="1"/>
  <c r="G42" s="1"/>
  <c r="B26" i="11"/>
  <c r="B22"/>
  <c r="B18"/>
  <c r="B25"/>
  <c r="B21"/>
  <c r="B17"/>
  <c r="B24"/>
  <c r="B20"/>
  <c r="B27"/>
  <c r="B23"/>
  <c r="B19"/>
  <c r="D13" i="16"/>
  <c r="D17" s="1"/>
  <c r="D5" i="13"/>
  <c r="H13" i="16"/>
  <c r="H17" s="1"/>
  <c r="L13" i="17"/>
  <c r="U19" i="11"/>
  <c r="V19" s="1"/>
  <c r="W16"/>
  <c r="W20"/>
  <c r="U18"/>
  <c r="V18" s="1"/>
  <c r="W19"/>
  <c r="U17"/>
  <c r="V17" s="1"/>
  <c r="U21"/>
  <c r="V21" s="1"/>
  <c r="W18"/>
  <c r="W22"/>
  <c r="U16"/>
  <c r="V16" s="1"/>
  <c r="U20"/>
  <c r="V20" s="1"/>
  <c r="W17"/>
  <c r="W21"/>
  <c r="D19" i="10"/>
  <c r="D18"/>
  <c r="D17"/>
  <c r="D16"/>
  <c r="D15"/>
  <c r="D14"/>
  <c r="D13"/>
  <c r="D12"/>
  <c r="D11"/>
  <c r="D10"/>
  <c r="D9"/>
  <c r="D8"/>
  <c r="D7"/>
  <c r="D6"/>
  <c r="D5"/>
  <c r="D4"/>
  <c r="D3"/>
  <c r="C19"/>
  <c r="C18"/>
  <c r="C17"/>
  <c r="C16"/>
  <c r="C15"/>
  <c r="C14"/>
  <c r="C13"/>
  <c r="C12"/>
  <c r="C11"/>
  <c r="C10"/>
  <c r="C9"/>
  <c r="C8"/>
  <c r="C7"/>
  <c r="C6"/>
  <c r="C5"/>
  <c r="C4"/>
  <c r="C3"/>
  <c r="AH113" i="14"/>
  <c r="AH112"/>
  <c r="AH111"/>
  <c r="AH110"/>
  <c r="AH109"/>
  <c r="AH108"/>
  <c r="AH107"/>
  <c r="AH106"/>
  <c r="AH105"/>
  <c r="AH104"/>
  <c r="AH103"/>
  <c r="AH102"/>
  <c r="AH101"/>
  <c r="AH100"/>
  <c r="AH99"/>
  <c r="AH98"/>
  <c r="AH97"/>
  <c r="AH96"/>
  <c r="AH95"/>
  <c r="AH94"/>
  <c r="AH93"/>
  <c r="AH92"/>
  <c r="AH91"/>
  <c r="AH90"/>
  <c r="AH89"/>
  <c r="AH88"/>
  <c r="AH87"/>
  <c r="AH86"/>
  <c r="AH85"/>
  <c r="AH84"/>
  <c r="AH83"/>
  <c r="AH82"/>
  <c r="AH81"/>
  <c r="AH80"/>
  <c r="AH79"/>
  <c r="AH78"/>
  <c r="AH77"/>
  <c r="AH76"/>
  <c r="AH75"/>
  <c r="AH74"/>
  <c r="AH73"/>
  <c r="AH72"/>
  <c r="AH71"/>
  <c r="AH70"/>
  <c r="AH69"/>
  <c r="AH68"/>
  <c r="AH67"/>
  <c r="AH66"/>
  <c r="AH65"/>
  <c r="AH64"/>
  <c r="AH63"/>
  <c r="AH62"/>
  <c r="AH61"/>
  <c r="AH60"/>
  <c r="AH59"/>
  <c r="AH58"/>
  <c r="AH57"/>
  <c r="AH56"/>
  <c r="AH55"/>
  <c r="AH54"/>
  <c r="AH53"/>
  <c r="AH52"/>
  <c r="AH51"/>
  <c r="AH50"/>
  <c r="AH49"/>
  <c r="AH48"/>
  <c r="AH47"/>
  <c r="AH46"/>
  <c r="AH45"/>
  <c r="AH44"/>
  <c r="AH43"/>
  <c r="AH42"/>
  <c r="AH41"/>
  <c r="AH40"/>
  <c r="AH39"/>
  <c r="AH38"/>
  <c r="AH37"/>
  <c r="AH36"/>
  <c r="AH35"/>
  <c r="AH34"/>
  <c r="AH33"/>
  <c r="AH32"/>
  <c r="AH31"/>
  <c r="AH30"/>
  <c r="AH29"/>
  <c r="AH28"/>
  <c r="AH27"/>
  <c r="AH26"/>
  <c r="AH25"/>
  <c r="AH24"/>
  <c r="AH23"/>
  <c r="AH22"/>
  <c r="AH21"/>
  <c r="AH20"/>
  <c r="AH19"/>
  <c r="AH18"/>
  <c r="AH17"/>
  <c r="AH16"/>
  <c r="AH15"/>
  <c r="AH14"/>
  <c r="AH13"/>
  <c r="AH12"/>
  <c r="AH11"/>
  <c r="AH10"/>
  <c r="AH9"/>
  <c r="AH8"/>
  <c r="AH7"/>
  <c r="AH6"/>
  <c r="AH5"/>
  <c r="AH4"/>
  <c r="E9" i="3"/>
  <c r="E7"/>
  <c r="Y30" i="18" l="1"/>
  <c r="S6" s="1"/>
  <c r="G43" i="19"/>
  <c r="G44" s="1"/>
  <c r="G45" s="1"/>
  <c r="G46" s="1"/>
  <c r="G47" s="1"/>
  <c r="G48" s="1"/>
  <c r="D16" i="16"/>
  <c r="H26"/>
  <c r="G9" i="11" s="1"/>
  <c r="H16" i="16"/>
  <c r="L8" i="18" s="1"/>
  <c r="D26" i="16"/>
  <c r="F9" i="11" s="1"/>
  <c r="G7"/>
  <c r="F7"/>
  <c r="M6"/>
  <c r="D14" i="17"/>
  <c r="K3" i="18" l="1"/>
  <c r="K8"/>
  <c r="K5"/>
  <c r="L7"/>
  <c r="L5"/>
  <c r="L3"/>
  <c r="L4"/>
  <c r="K4"/>
  <c r="K6"/>
  <c r="L6"/>
  <c r="K7"/>
  <c r="G6" i="11"/>
  <c r="G49" i="19"/>
  <c r="G50" s="1"/>
  <c r="G51" s="1"/>
  <c r="D20" i="16"/>
  <c r="D27" s="1"/>
  <c r="J6" i="13" s="1"/>
  <c r="D17" i="17"/>
  <c r="H20" i="16"/>
  <c r="H27" s="1"/>
  <c r="J8" i="13" s="1"/>
  <c r="F6" i="11"/>
  <c r="J1" i="14"/>
  <c r="K1" s="1"/>
  <c r="L1" s="1"/>
  <c r="M1" s="1"/>
  <c r="N1" s="1"/>
  <c r="O1" s="1"/>
  <c r="P1" s="1"/>
  <c r="Q1" s="1"/>
  <c r="R1" s="1"/>
  <c r="S1" s="1"/>
  <c r="T1" s="1"/>
  <c r="U1" s="1"/>
  <c r="V1" s="1"/>
  <c r="W1" s="1"/>
  <c r="X1" s="1"/>
  <c r="Y1" s="1"/>
  <c r="Z1" s="1"/>
  <c r="AA1" s="1"/>
  <c r="AB1" s="1"/>
  <c r="AC1" s="1"/>
  <c r="AD1" s="1"/>
  <c r="AE1" s="1"/>
  <c r="AF1" s="1"/>
  <c r="AG1" s="1"/>
  <c r="AH1" s="1"/>
  <c r="AI1" s="1"/>
  <c r="V113"/>
  <c r="V112"/>
  <c r="V111"/>
  <c r="V110"/>
  <c r="V109"/>
  <c r="V108"/>
  <c r="V107"/>
  <c r="V106"/>
  <c r="V105"/>
  <c r="V104"/>
  <c r="V103"/>
  <c r="V102"/>
  <c r="V101"/>
  <c r="V100"/>
  <c r="V99"/>
  <c r="V98"/>
  <c r="V97"/>
  <c r="V96"/>
  <c r="V95"/>
  <c r="V94"/>
  <c r="V93"/>
  <c r="V92"/>
  <c r="V91"/>
  <c r="V90"/>
  <c r="V89"/>
  <c r="V88"/>
  <c r="V87"/>
  <c r="V86"/>
  <c r="V85"/>
  <c r="V84"/>
  <c r="V83"/>
  <c r="V82"/>
  <c r="V81"/>
  <c r="V80"/>
  <c r="V79"/>
  <c r="V78"/>
  <c r="V77"/>
  <c r="V76"/>
  <c r="V75"/>
  <c r="V74"/>
  <c r="V73"/>
  <c r="V72"/>
  <c r="V71"/>
  <c r="V70"/>
  <c r="V69"/>
  <c r="V68"/>
  <c r="V67"/>
  <c r="V66"/>
  <c r="V65"/>
  <c r="V64"/>
  <c r="V63"/>
  <c r="V62"/>
  <c r="V61"/>
  <c r="V60"/>
  <c r="V59"/>
  <c r="V58"/>
  <c r="V57"/>
  <c r="V56"/>
  <c r="V55"/>
  <c r="V54"/>
  <c r="V53"/>
  <c r="V52"/>
  <c r="V51"/>
  <c r="V50"/>
  <c r="V49"/>
  <c r="V48"/>
  <c r="V47"/>
  <c r="V46"/>
  <c r="V45"/>
  <c r="V44"/>
  <c r="V43"/>
  <c r="V42"/>
  <c r="V41"/>
  <c r="V40"/>
  <c r="V39"/>
  <c r="V38"/>
  <c r="V37"/>
  <c r="V36"/>
  <c r="V35"/>
  <c r="V34"/>
  <c r="V33"/>
  <c r="V32"/>
  <c r="V31"/>
  <c r="V30"/>
  <c r="V29"/>
  <c r="V28"/>
  <c r="V27"/>
  <c r="V26"/>
  <c r="V25"/>
  <c r="V24"/>
  <c r="V23"/>
  <c r="V22"/>
  <c r="V21"/>
  <c r="V20"/>
  <c r="V19"/>
  <c r="V18"/>
  <c r="V17"/>
  <c r="V16"/>
  <c r="V15"/>
  <c r="V14"/>
  <c r="V13"/>
  <c r="V12"/>
  <c r="V11"/>
  <c r="V10"/>
  <c r="V9"/>
  <c r="V8"/>
  <c r="V7"/>
  <c r="V6"/>
  <c r="V5"/>
  <c r="V4"/>
  <c r="U4"/>
  <c r="U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U73"/>
  <c r="U74"/>
  <c r="U75"/>
  <c r="U76"/>
  <c r="U77"/>
  <c r="U78"/>
  <c r="U79"/>
  <c r="U80"/>
  <c r="U81"/>
  <c r="U82"/>
  <c r="U83"/>
  <c r="U84"/>
  <c r="U85"/>
  <c r="U86"/>
  <c r="U87"/>
  <c r="U88"/>
  <c r="U89"/>
  <c r="U90"/>
  <c r="U91"/>
  <c r="U92"/>
  <c r="U93"/>
  <c r="U94"/>
  <c r="U95"/>
  <c r="U96"/>
  <c r="U97"/>
  <c r="U98"/>
  <c r="U99"/>
  <c r="U100"/>
  <c r="U101"/>
  <c r="U102"/>
  <c r="U103"/>
  <c r="U104"/>
  <c r="U105"/>
  <c r="U106"/>
  <c r="U107"/>
  <c r="U108"/>
  <c r="U109"/>
  <c r="U110"/>
  <c r="U111"/>
  <c r="U112"/>
  <c r="U113"/>
  <c r="D18" i="17" l="1"/>
  <c r="L16"/>
  <c r="M7" i="11"/>
  <c r="L17" i="17" l="1"/>
  <c r="D19"/>
  <c r="D7" i="13"/>
  <c r="D20" i="17" l="1"/>
  <c r="L19"/>
  <c r="I20" i="11"/>
  <c r="C20"/>
  <c r="D10" i="16" l="1"/>
  <c r="L18" i="18" s="1"/>
  <c r="AD14" s="1"/>
  <c r="C17" i="11"/>
  <c r="C24"/>
  <c r="C27"/>
  <c r="C23"/>
  <c r="C19"/>
  <c r="I27"/>
  <c r="I23"/>
  <c r="I19"/>
  <c r="C26"/>
  <c r="C22"/>
  <c r="C18"/>
  <c r="I26"/>
  <c r="I22"/>
  <c r="I18"/>
  <c r="C25"/>
  <c r="C21"/>
  <c r="I25"/>
  <c r="I21"/>
  <c r="I17"/>
  <c r="I24"/>
  <c r="P18" i="18" l="1"/>
  <c r="F5" i="11"/>
  <c r="G5"/>
  <c r="P30" i="18" l="1"/>
  <c r="S5" s="1"/>
  <c r="AH14"/>
  <c r="AH68" s="1"/>
  <c r="M17" i="11"/>
  <c r="J20" l="1"/>
  <c r="D25"/>
  <c r="J25" l="1"/>
  <c r="J22"/>
  <c r="J18"/>
  <c r="J19"/>
  <c r="J23"/>
  <c r="J24"/>
  <c r="J21"/>
  <c r="J26"/>
  <c r="J17"/>
  <c r="N17" s="1"/>
  <c r="J27"/>
  <c r="D21"/>
  <c r="D17"/>
  <c r="D20"/>
  <c r="D27"/>
  <c r="D23"/>
  <c r="D26"/>
  <c r="D18"/>
  <c r="D22"/>
  <c r="D24"/>
  <c r="D19"/>
  <c r="F16" i="3" l="1"/>
  <c r="F15"/>
  <c r="F14"/>
  <c r="F13"/>
  <c r="F12"/>
  <c r="F11"/>
  <c r="F10"/>
  <c r="F9"/>
  <c r="F8"/>
  <c r="F7"/>
  <c r="F6"/>
  <c r="F5"/>
  <c r="F4"/>
  <c r="F3"/>
  <c r="E16"/>
  <c r="E15"/>
  <c r="E14"/>
  <c r="E13"/>
  <c r="E12"/>
  <c r="E11"/>
  <c r="E10"/>
  <c r="E8"/>
  <c r="E6"/>
  <c r="E5"/>
  <c r="E4"/>
  <c r="E3"/>
  <c r="D16"/>
  <c r="D15"/>
  <c r="D14"/>
  <c r="D13"/>
  <c r="D12"/>
  <c r="D11"/>
  <c r="D10"/>
  <c r="D9"/>
  <c r="D8"/>
  <c r="D7"/>
  <c r="D6"/>
  <c r="D5"/>
  <c r="D4"/>
  <c r="D3"/>
  <c r="D21" i="16" l="1"/>
  <c r="H21"/>
  <c r="G8" i="11" l="1"/>
  <c r="H22" i="16"/>
  <c r="F8" i="11"/>
  <c r="E20" s="1"/>
  <c r="D22" i="16"/>
  <c r="E24" i="11"/>
  <c r="E27"/>
  <c r="E18"/>
  <c r="F18"/>
  <c r="F24"/>
  <c r="H23" i="16"/>
  <c r="F20" i="11"/>
  <c r="D23" i="16"/>
  <c r="F27" i="11"/>
  <c r="E21" l="1"/>
  <c r="E17"/>
  <c r="E19"/>
  <c r="E22"/>
  <c r="E26"/>
  <c r="E25"/>
  <c r="E23"/>
  <c r="D24" i="16"/>
  <c r="H24"/>
  <c r="K27" i="11"/>
  <c r="K21"/>
  <c r="K25"/>
  <c r="K26"/>
  <c r="K24"/>
  <c r="K20"/>
  <c r="K23"/>
  <c r="K19"/>
  <c r="K17"/>
  <c r="K22"/>
  <c r="K18"/>
  <c r="G18"/>
  <c r="H18" s="1"/>
  <c r="G24"/>
  <c r="H24" s="1"/>
  <c r="G27"/>
  <c r="H27" s="1"/>
  <c r="G17"/>
  <c r="H17" s="1"/>
  <c r="G20"/>
  <c r="H20" s="1"/>
  <c r="F22"/>
  <c r="F25"/>
  <c r="L18"/>
  <c r="L20"/>
  <c r="L22"/>
  <c r="L21"/>
  <c r="F21"/>
  <c r="L23"/>
  <c r="F19"/>
  <c r="L26"/>
  <c r="L19"/>
  <c r="F23"/>
  <c r="L25"/>
  <c r="L27"/>
  <c r="L24"/>
  <c r="F26"/>
  <c r="G22" l="1"/>
  <c r="H22" s="1"/>
  <c r="G21"/>
  <c r="H21" s="1"/>
  <c r="G19"/>
  <c r="H19" s="1"/>
  <c r="G26"/>
  <c r="H26" s="1"/>
  <c r="G25"/>
  <c r="H25" s="1"/>
  <c r="G23"/>
  <c r="H23" s="1"/>
  <c r="M23"/>
  <c r="N23" s="1"/>
  <c r="M22"/>
  <c r="N22" s="1"/>
  <c r="M20"/>
  <c r="N20" s="1"/>
  <c r="Q20" s="1"/>
  <c r="M21"/>
  <c r="N21" s="1"/>
  <c r="M24"/>
  <c r="N24" s="1"/>
  <c r="Q24" s="1"/>
  <c r="M27"/>
  <c r="N27" s="1"/>
  <c r="P27" s="1"/>
  <c r="M19"/>
  <c r="N19" s="1"/>
  <c r="M26"/>
  <c r="N26" s="1"/>
  <c r="M18"/>
  <c r="N18" s="1"/>
  <c r="Q18" s="1"/>
  <c r="M25"/>
  <c r="N25" s="1"/>
  <c r="J7" i="13"/>
  <c r="H29" i="16"/>
  <c r="J5" i="13"/>
  <c r="D29" i="16"/>
  <c r="Q17" i="11"/>
  <c r="P17"/>
  <c r="Q21" l="1"/>
  <c r="P19"/>
  <c r="Q22"/>
  <c r="Q26"/>
  <c r="P21"/>
  <c r="P22"/>
  <c r="P20"/>
  <c r="P26"/>
  <c r="Q19"/>
  <c r="Q25"/>
  <c r="Q27"/>
  <c r="Q23"/>
  <c r="P23"/>
  <c r="P24"/>
  <c r="D8" i="13"/>
  <c r="P25" i="11"/>
  <c r="P18"/>
  <c r="W40" i="14" l="1"/>
  <c r="J11" i="13"/>
  <c r="W30" i="14"/>
  <c r="W63"/>
  <c r="W68"/>
  <c r="W105"/>
  <c r="W4"/>
  <c r="W18"/>
  <c r="W91"/>
  <c r="W27"/>
  <c r="W86"/>
  <c r="W55"/>
  <c r="W53"/>
  <c r="W109"/>
  <c r="W103"/>
  <c r="W33"/>
  <c r="W96"/>
  <c r="W32"/>
  <c r="W13"/>
  <c r="W37"/>
  <c r="W102"/>
  <c r="W44"/>
  <c r="W111"/>
  <c r="W47"/>
  <c r="W61"/>
  <c r="W95"/>
  <c r="W21"/>
  <c r="W29"/>
  <c r="W34"/>
  <c r="W79"/>
  <c r="W15"/>
  <c r="W5"/>
  <c r="W84"/>
  <c r="W20"/>
  <c r="W107"/>
  <c r="W43"/>
  <c r="W65"/>
  <c r="W112"/>
  <c r="W48"/>
  <c r="W77"/>
  <c r="W87"/>
  <c r="W25"/>
  <c r="W76"/>
  <c r="W74"/>
  <c r="W26"/>
  <c r="W101"/>
  <c r="W82"/>
  <c r="W73"/>
  <c r="W46"/>
  <c r="W52"/>
  <c r="W50"/>
  <c r="W75"/>
  <c r="W11"/>
  <c r="W110"/>
  <c r="W80"/>
  <c r="W16"/>
  <c r="W70"/>
  <c r="W23"/>
  <c r="W108"/>
  <c r="W28"/>
  <c r="W45"/>
  <c r="W39"/>
  <c r="W83"/>
  <c r="W93"/>
  <c r="W54"/>
  <c r="W31"/>
  <c r="W41"/>
  <c r="W100"/>
  <c r="W36"/>
  <c r="W14"/>
  <c r="W59"/>
  <c r="W97"/>
  <c r="W78"/>
  <c r="W64"/>
  <c r="W106"/>
  <c r="W10"/>
  <c r="W57"/>
  <c r="W92"/>
  <c r="W12"/>
  <c r="W42"/>
  <c r="W7"/>
  <c r="W67"/>
  <c r="W51"/>
  <c r="W9"/>
  <c r="W90"/>
  <c r="W38"/>
  <c r="W22"/>
  <c r="W6"/>
  <c r="W81"/>
  <c r="W104"/>
  <c r="W24"/>
  <c r="W113"/>
  <c r="W19"/>
  <c r="W94"/>
  <c r="W89"/>
  <c r="W66"/>
  <c r="W60"/>
  <c r="W85"/>
  <c r="W98"/>
  <c r="W71"/>
  <c r="W69"/>
  <c r="W62"/>
  <c r="W99"/>
  <c r="W35"/>
  <c r="W49"/>
  <c r="W17"/>
  <c r="W8"/>
  <c r="W58"/>
  <c r="W88"/>
  <c r="W72"/>
  <c r="W56"/>
  <c r="E13" i="13" l="1"/>
  <c r="X3" i="18"/>
  <c r="D50" l="1"/>
  <c r="E50" s="1"/>
  <c r="F50" s="1"/>
  <c r="D49"/>
  <c r="E49" s="1"/>
  <c r="F49" s="1"/>
  <c r="D48"/>
  <c r="E48" s="1"/>
  <c r="D47"/>
  <c r="E47" s="1"/>
  <c r="D46"/>
  <c r="E46" s="1"/>
  <c r="F46" s="1"/>
  <c r="D45"/>
  <c r="E45" s="1"/>
  <c r="F45" s="1"/>
  <c r="D44"/>
  <c r="E44" s="1"/>
  <c r="D43"/>
  <c r="E43" s="1"/>
  <c r="D42"/>
  <c r="E42" s="1"/>
  <c r="D41"/>
  <c r="E41" s="1"/>
  <c r="F41" s="1"/>
  <c r="D40"/>
  <c r="E40" s="1"/>
  <c r="D39"/>
  <c r="E39" s="1"/>
  <c r="D38"/>
  <c r="E38" s="1"/>
  <c r="F38" s="1"/>
  <c r="D37"/>
  <c r="E37" s="1"/>
  <c r="D36"/>
  <c r="E36" s="1"/>
  <c r="D34"/>
  <c r="E34" s="1"/>
  <c r="D35"/>
  <c r="E35" s="1"/>
  <c r="D32"/>
  <c r="E32" s="1"/>
  <c r="D33"/>
  <c r="E33" s="1"/>
  <c r="D30"/>
  <c r="E30" s="1"/>
  <c r="D31"/>
  <c r="E31" s="1"/>
  <c r="D28"/>
  <c r="E28" s="1"/>
  <c r="D29"/>
  <c r="E29" s="1"/>
  <c r="D26"/>
  <c r="E26" s="1"/>
  <c r="D27"/>
  <c r="E27" s="1"/>
  <c r="D24"/>
  <c r="E24" s="1"/>
  <c r="D25"/>
  <c r="E25" s="1"/>
  <c r="D22"/>
  <c r="E22" s="1"/>
  <c r="D23"/>
  <c r="E23" s="1"/>
  <c r="D20"/>
  <c r="E20" s="1"/>
  <c r="D21"/>
  <c r="E21" s="1"/>
  <c r="D18"/>
  <c r="E18" s="1"/>
  <c r="D19"/>
  <c r="E19" s="1"/>
  <c r="D17"/>
  <c r="F47"/>
  <c r="F43"/>
  <c r="F44"/>
  <c r="F36"/>
  <c r="F39"/>
  <c r="F42"/>
  <c r="F48"/>
  <c r="F40"/>
  <c r="F37"/>
  <c r="F18"/>
  <c r="F30"/>
  <c r="F21"/>
  <c r="F35"/>
  <c r="F24"/>
  <c r="F22"/>
  <c r="F34"/>
  <c r="F25"/>
  <c r="F26"/>
  <c r="F29"/>
  <c r="F31"/>
  <c r="F33"/>
  <c r="F20"/>
  <c r="F27"/>
  <c r="F19"/>
  <c r="F32"/>
  <c r="F28"/>
  <c r="F23"/>
  <c r="G42" l="1"/>
  <c r="G50"/>
  <c r="G41"/>
  <c r="G45"/>
  <c r="G49"/>
  <c r="G44"/>
  <c r="G48"/>
  <c r="G46"/>
  <c r="G43"/>
  <c r="G47"/>
  <c r="E17"/>
  <c r="AD8"/>
  <c r="G36"/>
  <c r="G40"/>
  <c r="G39"/>
  <c r="G38"/>
  <c r="G37"/>
  <c r="G34"/>
  <c r="G35"/>
  <c r="G32"/>
  <c r="G33"/>
  <c r="G30"/>
  <c r="G31"/>
  <c r="G28"/>
  <c r="G29"/>
  <c r="G26"/>
  <c r="G27"/>
  <c r="G24"/>
  <c r="G25"/>
  <c r="G22"/>
  <c r="G23"/>
  <c r="G20"/>
  <c r="G21"/>
  <c r="G18"/>
  <c r="G19"/>
  <c r="F17"/>
  <c r="AF8" l="1"/>
  <c r="S4"/>
  <c r="G17"/>
  <c r="AG8" s="1"/>
  <c r="AE8"/>
  <c r="S3" l="1"/>
  <c r="S7" s="1"/>
</calcChain>
</file>

<file path=xl/comments1.xml><?xml version="1.0" encoding="utf-8"?>
<comments xmlns="http://schemas.openxmlformats.org/spreadsheetml/2006/main">
  <authors>
    <author>TERRE</author>
  </authors>
  <commentList>
    <comment ref="AH2" authorId="0">
      <text>
        <r>
          <rPr>
            <b/>
            <sz val="9"/>
            <color indexed="81"/>
            <rFont val="Tahoma"/>
            <family val="2"/>
          </rPr>
          <t>JCCS:</t>
        </r>
        <r>
          <rPr>
            <sz val="9"/>
            <color indexed="81"/>
            <rFont val="Tahoma"/>
            <family val="2"/>
          </rPr>
          <t xml:space="preserve">
escribir la ecuación de la eficiencia en esta columna como se muestra en la primera celda.</t>
        </r>
      </text>
    </comment>
    <comment ref="V3" authorId="0">
      <text>
        <r>
          <rPr>
            <b/>
            <sz val="9"/>
            <color indexed="81"/>
            <rFont val="Tahoma"/>
            <family val="2"/>
          </rPr>
          <t>JCCS:</t>
        </r>
        <r>
          <rPr>
            <sz val="9"/>
            <color indexed="81"/>
            <rFont val="Tahoma"/>
            <family val="2"/>
          </rPr>
          <t xml:space="preserve">
Escribir la ecuación de la curva en esta columna como se muestra el la primera celda.</t>
        </r>
      </text>
    </comment>
  </commentList>
</comments>
</file>

<file path=xl/comments2.xml><?xml version="1.0" encoding="utf-8"?>
<comments xmlns="http://schemas.openxmlformats.org/spreadsheetml/2006/main">
  <authors>
    <author>TERRE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>JCCS:</t>
        </r>
        <r>
          <rPr>
            <sz val="9"/>
            <color indexed="81"/>
            <rFont val="Tahoma"/>
            <family val="2"/>
          </rPr>
          <t xml:space="preserve">
Complementar el analisis de costos unitarios para los suministro de los elementos enunciados</t>
        </r>
      </text>
    </comment>
    <comment ref="I1" authorId="0">
      <text>
        <r>
          <rPr>
            <b/>
            <sz val="9"/>
            <color indexed="81"/>
            <rFont val="Tahoma"/>
            <family val="2"/>
          </rPr>
          <t xml:space="preserve">JCCS:
</t>
        </r>
        <r>
          <rPr>
            <sz val="9"/>
            <color indexed="81"/>
            <rFont val="Tahoma"/>
            <family val="2"/>
          </rPr>
          <t>Complementar el analisis de costos unitarios de la instalacón de los elementos enunciados</t>
        </r>
      </text>
    </comment>
    <comment ref="Q1" authorId="0">
      <text>
        <r>
          <rPr>
            <b/>
            <sz val="9"/>
            <color indexed="81"/>
            <rFont val="Tahoma"/>
            <family val="2"/>
          </rPr>
          <t>JCCS:</t>
        </r>
        <r>
          <rPr>
            <sz val="9"/>
            <color indexed="81"/>
            <rFont val="Tahoma"/>
            <family val="2"/>
          </rPr>
          <t xml:space="preserve">
Complementar el analisis de costos unitarios para los suministro e instlación de los elementos enunciados</t>
        </r>
      </text>
    </comment>
  </commentList>
</comments>
</file>

<file path=xl/sharedStrings.xml><?xml version="1.0" encoding="utf-8"?>
<sst xmlns="http://schemas.openxmlformats.org/spreadsheetml/2006/main" count="1471" uniqueCount="636">
  <si>
    <t>m</t>
  </si>
  <si>
    <t>l/s</t>
  </si>
  <si>
    <t>plg</t>
  </si>
  <si>
    <t>Caudal de diseño</t>
  </si>
  <si>
    <t>msnm</t>
  </si>
  <si>
    <t>Nivel de Entrega</t>
  </si>
  <si>
    <t>ºC</t>
  </si>
  <si>
    <t>PROPIEDADES FÍSICAS DEL AGUA</t>
  </si>
  <si>
    <t>Temperatura (ºC)</t>
  </si>
  <si>
    <r>
      <t>Peso específico (kN/m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)</t>
    </r>
  </si>
  <si>
    <r>
      <t>Densidad (kg/m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)</t>
    </r>
  </si>
  <si>
    <r>
      <t>Módulo de elasticidad (kN/m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)</t>
    </r>
  </si>
  <si>
    <r>
      <t>Viscosidad cinemática (m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/s)</t>
    </r>
  </si>
  <si>
    <t>Tensión superficial (N/m)</t>
  </si>
  <si>
    <r>
      <t>Presión de vapor (kN/m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)</t>
    </r>
  </si>
  <si>
    <t>Viscosidad dinámica (N*s/m2)</t>
  </si>
  <si>
    <t>u</t>
  </si>
  <si>
    <t>Re</t>
  </si>
  <si>
    <t>-</t>
  </si>
  <si>
    <r>
      <t>Coeficiente de fricción "</t>
    </r>
    <r>
      <rPr>
        <i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"</t>
    </r>
  </si>
  <si>
    <t>RUGOSIDAD ABSOLUTA DE MATERIALES</t>
  </si>
  <si>
    <t>Material</t>
  </si>
  <si>
    <t>ε (mm)</t>
  </si>
  <si>
    <t>Plástico (PE, PVC)</t>
  </si>
  <si>
    <t>Poliéster reforzado con fibra de vidrio</t>
  </si>
  <si>
    <t>SIMBOLO</t>
  </si>
  <si>
    <t>PVC</t>
  </si>
  <si>
    <t>ACERO</t>
  </si>
  <si>
    <t>Rugosidad absoluta "ε"</t>
  </si>
  <si>
    <t>mm</t>
  </si>
  <si>
    <t>Pérdidas por fricción</t>
  </si>
  <si>
    <t>Accesorios</t>
  </si>
  <si>
    <t>Cant</t>
  </si>
  <si>
    <t>Codo 45</t>
  </si>
  <si>
    <t>Salida tubería</t>
  </si>
  <si>
    <t>Uniones</t>
  </si>
  <si>
    <t>h3 (altura útil)</t>
  </si>
  <si>
    <t>Altura total del pozo húmedo</t>
  </si>
  <si>
    <t>Temperatura</t>
  </si>
  <si>
    <t>Válvula de compuerta</t>
  </si>
  <si>
    <t>Válvula de globo</t>
  </si>
  <si>
    <t>Potencia</t>
  </si>
  <si>
    <t>Velocidad en la impulsión</t>
  </si>
  <si>
    <t>(CF) Cota fondo pozo</t>
  </si>
  <si>
    <r>
      <t>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/s</t>
    </r>
  </si>
  <si>
    <r>
      <t>m</t>
    </r>
    <r>
      <rPr>
        <sz val="11"/>
        <color theme="1"/>
        <rFont val="Calibri"/>
        <family val="2"/>
        <scheme val="minor"/>
      </rPr>
      <t>/s</t>
    </r>
  </si>
  <si>
    <t>Volumen Requerido</t>
  </si>
  <si>
    <t>Q</t>
  </si>
  <si>
    <t>H</t>
  </si>
  <si>
    <t>L/s</t>
  </si>
  <si>
    <t>m/s</t>
  </si>
  <si>
    <t>IMPULSION 1</t>
  </si>
  <si>
    <t>Vel</t>
  </si>
  <si>
    <t>Impulsión 1</t>
  </si>
  <si>
    <t>Impulsión 2</t>
  </si>
  <si>
    <t>Longitud tubería [m]</t>
  </si>
  <si>
    <t>Diametro [pulg]</t>
  </si>
  <si>
    <t>Rugosidad absoluta "ε" [mm]</t>
  </si>
  <si>
    <r>
      <t>u [</t>
    </r>
    <r>
      <rPr>
        <sz val="11"/>
        <color theme="1"/>
        <rFont val="Calibri"/>
        <family val="2"/>
        <scheme val="minor"/>
      </rPr>
      <t>m2/s</t>
    </r>
    <r>
      <rPr>
        <sz val="11"/>
        <color theme="1"/>
        <rFont val="Symbol"/>
        <family val="1"/>
        <charset val="2"/>
      </rPr>
      <t>]</t>
    </r>
  </si>
  <si>
    <r>
      <rPr>
        <sz val="11"/>
        <color theme="1"/>
        <rFont val="Symbol"/>
        <family val="1"/>
        <charset val="2"/>
      </rPr>
      <t>S</t>
    </r>
    <r>
      <rPr>
        <sz val="11"/>
        <color theme="1"/>
        <rFont val="Calibri"/>
        <family val="2"/>
        <scheme val="minor"/>
      </rPr>
      <t>K [m]</t>
    </r>
  </si>
  <si>
    <t>IMPULSION 2</t>
  </si>
  <si>
    <t>Datos</t>
  </si>
  <si>
    <r>
      <t xml:space="preserve"> "</t>
    </r>
    <r>
      <rPr>
        <b/>
        <i/>
        <sz val="11"/>
        <color theme="1"/>
        <rFont val="Calibri"/>
        <family val="2"/>
        <scheme val="minor"/>
      </rPr>
      <t>f</t>
    </r>
    <r>
      <rPr>
        <b/>
        <sz val="11"/>
        <color theme="1"/>
        <rFont val="Calibri"/>
        <family val="2"/>
        <scheme val="minor"/>
      </rPr>
      <t>"</t>
    </r>
  </si>
  <si>
    <t>CURVA DE LA BOMBA</t>
  </si>
  <si>
    <t>CURVA DEL SISTEMA EBAR</t>
  </si>
  <si>
    <t>DIMENSIONAMIENTO LÍNEA DE IMPULSIÓN</t>
  </si>
  <si>
    <t>Caudal</t>
  </si>
  <si>
    <t>FABRICANTE</t>
  </si>
  <si>
    <t>SERIE</t>
  </si>
  <si>
    <t>IDENTIFICACION</t>
  </si>
  <si>
    <t>CURVA CARACTERÍSTICA</t>
  </si>
  <si>
    <r>
      <t>Q [m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/h]</t>
    </r>
  </si>
  <si>
    <t>H [m]</t>
  </si>
  <si>
    <t>ECUACIÓN</t>
  </si>
  <si>
    <t>R²</t>
  </si>
  <si>
    <t>ABS</t>
  </si>
  <si>
    <t>AS</t>
  </si>
  <si>
    <t>AS0530 S12/2W</t>
  </si>
  <si>
    <t>AS0530 S12/2D</t>
  </si>
  <si>
    <t>AS0530 S17/2D</t>
  </si>
  <si>
    <t>AS0530 S26/2D</t>
  </si>
  <si>
    <t>AS0630 S10/4W</t>
  </si>
  <si>
    <t>AS0630 S13/4D</t>
  </si>
  <si>
    <t>AS0630 S22/4D</t>
  </si>
  <si>
    <t>AS0631 S12/2W</t>
  </si>
  <si>
    <t>AS0631 S12/2D</t>
  </si>
  <si>
    <t>AS0631 S17/2W</t>
  </si>
  <si>
    <t>AS0631 S17/2D</t>
  </si>
  <si>
    <t>AS0631 S30/2D</t>
  </si>
  <si>
    <t>AS0641 S30/2D</t>
  </si>
  <si>
    <t>AS0830 S10/4W</t>
  </si>
  <si>
    <t>AS0830 S13/4D</t>
  </si>
  <si>
    <t>AS0830 S22/4D</t>
  </si>
  <si>
    <t>AS0840 S12/2W</t>
  </si>
  <si>
    <t>AS0840 S12/2D</t>
  </si>
  <si>
    <t>AS0840 S17/2D</t>
  </si>
  <si>
    <t>AS0840 S26/2D</t>
  </si>
  <si>
    <t>AS0841 S13/4D</t>
  </si>
  <si>
    <t>BOMBAS IDEAL</t>
  </si>
  <si>
    <t>ARS</t>
  </si>
  <si>
    <t>ARS 40-10V/0,5</t>
  </si>
  <si>
    <t>ARS 50-16V/1,8</t>
  </si>
  <si>
    <t>ARS 50-16V/2,5</t>
  </si>
  <si>
    <t>ARS 80-16V/2,5</t>
  </si>
  <si>
    <t>ARS 80-17V/5,5</t>
  </si>
  <si>
    <t>ARS 80-17V/4</t>
  </si>
  <si>
    <t>ARS 80B-18 V/7,5E</t>
  </si>
  <si>
    <t>ARS 80-19V/10</t>
  </si>
  <si>
    <t>ARS 80-20V/22</t>
  </si>
  <si>
    <t>ARS 65-18V/1</t>
  </si>
  <si>
    <t>ARS 65-18V/1,5</t>
  </si>
  <si>
    <t>ARS 65-18V/1,7</t>
  </si>
  <si>
    <t>ARS 80-18V/1,5</t>
  </si>
  <si>
    <t>ARS 80-18V/1,7</t>
  </si>
  <si>
    <t>ARS 80A-19V/1</t>
  </si>
  <si>
    <t>ARS 80A-19V/1,5</t>
  </si>
  <si>
    <t>ARS 100A-26V/7,5E</t>
  </si>
  <si>
    <t>ARS 50-14MI/2</t>
  </si>
  <si>
    <t>ARS 50-14MI/1,4</t>
  </si>
  <si>
    <t>ARS 50-14MI/1</t>
  </si>
  <si>
    <t>ARS 80-14MI/3</t>
  </si>
  <si>
    <t>ARS 80-15MI/4</t>
  </si>
  <si>
    <t>ARS 80-15MI/2</t>
  </si>
  <si>
    <t>ARS 65-13M/2</t>
  </si>
  <si>
    <t>ARS 65-14M/3</t>
  </si>
  <si>
    <t>ARS 65-14M/2,5</t>
  </si>
  <si>
    <t>ARS 80-22M/21</t>
  </si>
  <si>
    <t>DAB</t>
  </si>
  <si>
    <t>FEKA</t>
  </si>
  <si>
    <t>FEKA GL 500 M-A</t>
  </si>
  <si>
    <t>FEKA GL 650 M-A</t>
  </si>
  <si>
    <t>FEKA GL 750 M-A (NA)</t>
  </si>
  <si>
    <t>FEKA GL 1000 M-A (NA)</t>
  </si>
  <si>
    <t>FEKA 1400 M</t>
  </si>
  <si>
    <t>FEKA 1800 T</t>
  </si>
  <si>
    <t>FEKA 2015.2 MA (MNA)</t>
  </si>
  <si>
    <t>FEKA 2015.2 TNA</t>
  </si>
  <si>
    <t>FEKA 2025.2 TNA</t>
  </si>
  <si>
    <t>FEKA 2030.2 TNA</t>
  </si>
  <si>
    <t>FEKA 2508.4M-NA</t>
  </si>
  <si>
    <t>FEKA 2508.4T</t>
  </si>
  <si>
    <t>FEKA 2515.4T</t>
  </si>
  <si>
    <t>FEKA 2500.4T</t>
  </si>
  <si>
    <t>FEKA 2515.2T</t>
  </si>
  <si>
    <t>FEKA 2500.2T</t>
  </si>
  <si>
    <t>FEKA 2700.2T</t>
  </si>
  <si>
    <t>FEKA 3030.4T</t>
  </si>
  <si>
    <t>FEKA 3030.2T</t>
  </si>
  <si>
    <t>FEKA 3040.2T</t>
  </si>
  <si>
    <t>FEKA 3000.2T</t>
  </si>
  <si>
    <t>FEKA RC 3500.2T</t>
  </si>
  <si>
    <t>FEKA RC 3700.2T</t>
  </si>
  <si>
    <t>EBARA</t>
  </si>
  <si>
    <t>DRV</t>
  </si>
  <si>
    <t>DRV/A32-090-0.5M</t>
  </si>
  <si>
    <t>DRV/A32-090-0.5</t>
  </si>
  <si>
    <t>DRV/A50-120-1.1M</t>
  </si>
  <si>
    <t>DRV/A50-120-1.4</t>
  </si>
  <si>
    <t>DRV/A50-135-1.4</t>
  </si>
  <si>
    <t>DRV/A50-130-1.1M</t>
  </si>
  <si>
    <t>DRV/A50-140-1.8M</t>
  </si>
  <si>
    <t>DRV/A50-155-1.8M</t>
  </si>
  <si>
    <t>DRV/A50-140-1.4</t>
  </si>
  <si>
    <t>DRV/A50-155-2.4</t>
  </si>
  <si>
    <t>DRV/A65-108-1.9M</t>
  </si>
  <si>
    <t>DRV/A65-108-2.3</t>
  </si>
  <si>
    <t>DRV/A65-119-2.3</t>
  </si>
  <si>
    <t>DRV/A65-105-3.2</t>
  </si>
  <si>
    <t>DRV/A65-112-4.1</t>
  </si>
  <si>
    <t>DRV/A80-155-1.8M</t>
  </si>
  <si>
    <t>DRV/A80-155-2.4</t>
  </si>
  <si>
    <t>DRV/A80-145-3.2</t>
  </si>
  <si>
    <t>DRV/A80-155-3.2</t>
  </si>
  <si>
    <t>DRV/A80-185-7.4</t>
  </si>
  <si>
    <t>DRV/A80-200-18.2</t>
  </si>
  <si>
    <t>DRV/A65-145-1.0M</t>
  </si>
  <si>
    <t>DRV/A65-165-1.0M</t>
  </si>
  <si>
    <t>DRV/A65-182-1.2M</t>
  </si>
  <si>
    <t>DRV/A65-145-1.1</t>
  </si>
  <si>
    <t>DRV/A65-165-1.1</t>
  </si>
  <si>
    <t>DRV/A65-182-1.4</t>
  </si>
  <si>
    <t>DRV/A80-165-1.0M</t>
  </si>
  <si>
    <t>DRV/A80-165-1.4</t>
  </si>
  <si>
    <t>DRV/A80-182-1.2M</t>
  </si>
  <si>
    <t>DRV/A80-182-1.4</t>
  </si>
  <si>
    <t>H=-0.0033*Q^2-0.2478*Q+12.202</t>
  </si>
  <si>
    <t>H=-0.0004*Q^2-0.3529*Q+16.027</t>
  </si>
  <si>
    <t>H=-0.0029*Q^2-0.3178*Q+20.935</t>
  </si>
  <si>
    <t>H=0.0002*Q^2-0.1239*Q+5.4062</t>
  </si>
  <si>
    <t>H=-3E-05*Q^2-0.1047*Q+7.7531</t>
  </si>
  <si>
    <t>H=-0.0001*Q^2-0.1108*Q+9.8063</t>
  </si>
  <si>
    <t>H=-0.0003*Q^2-0.082*Q+11.317</t>
  </si>
  <si>
    <t>H=-0.0042*Q^2-0.1302*Q+12.52</t>
  </si>
  <si>
    <t>H=-0.001*Q^2-0.2513*Q+17.239</t>
  </si>
  <si>
    <t>H=-0.0002*Q^2-0.2946*Q+22.32</t>
  </si>
  <si>
    <t>H=-0.0002*Q^2-0.3348*Q+27.983</t>
  </si>
  <si>
    <t>H=0.0011*Q^2-0.2381*Q+7.9869</t>
  </si>
  <si>
    <t>H=0.0007*Q^2-0.2447*Q+12.421</t>
  </si>
  <si>
    <t>H=0.0004*Q^2-0.2602*Q+15.944</t>
  </si>
  <si>
    <t>H=0.0017*Q^2-0.3854*Q+21.874</t>
  </si>
  <si>
    <t>H=-0.0002*Q^2-0.0478*Q+4.665</t>
  </si>
  <si>
    <t>H=-0.0087*Q^2-0.3316*Q+7.3054</t>
  </si>
  <si>
    <t>H=-0.0025*Q^2-0.2216*Q+12.417</t>
  </si>
  <si>
    <t>H=-0.0003*Q^2-0.3248*Q+15.592</t>
  </si>
  <si>
    <t>H=-0.0002*Q^2-0.1281*Q+8.1731</t>
  </si>
  <si>
    <t>H=0.0003*Q^2-0.2625*Q+17.487</t>
  </si>
  <si>
    <t>H=0.0003*Q^2-0.2443*Q+15.202</t>
  </si>
  <si>
    <t>H=-0.0002*Q^2-0.0948*Q+20.334</t>
  </si>
  <si>
    <t>H=-0.0005*Q^2-0.1935*Q+28.512</t>
  </si>
  <si>
    <t>H=-0.0005*Q^2-0.1673*Q+46.719</t>
  </si>
  <si>
    <t>H=-0.0008*Q^2-0.1076*Q+6.689</t>
  </si>
  <si>
    <t>H=-0.0006*Q^2-0.121*Q+7.9886</t>
  </si>
  <si>
    <t>H=-0.0005*Q^2-0.1423*Q+9.5968</t>
  </si>
  <si>
    <t>H=-0.0007*Q^2-0.0624*Q+6.8539</t>
  </si>
  <si>
    <t>H=-0.0003*Q^2-0.0917*Q+8.2174</t>
  </si>
  <si>
    <t>H=-0.0008*Q^2-0.0177*Q+4.782</t>
  </si>
  <si>
    <t>H=-0.0006*Q^2-0.0186*Q+6.1832</t>
  </si>
  <si>
    <t>H=-0.0001*Q^2-0.0623*Q+19.98</t>
  </si>
  <si>
    <t>H=-0.0059*Q^2-0.4436*Q+24.958</t>
  </si>
  <si>
    <t>H=-0.0011*Q^2-0.4332*Q+17.18</t>
  </si>
  <si>
    <t>H=-0.0013*Q^2-0.4914*Q+12.898</t>
  </si>
  <si>
    <t>H=-0.0001*Q^2-0.3921*Q+23.971</t>
  </si>
  <si>
    <t>H=-0.0016*Q^2-0.3666*Q+26.393</t>
  </si>
  <si>
    <t>H=0.0002*Q^2-0.3026*Q+15.5</t>
  </si>
  <si>
    <t>H=-0.0021*Q^2-0.3184*Q+19.489</t>
  </si>
  <si>
    <t>H=-0.0012*Q^2-0.227*Q+19.898</t>
  </si>
  <si>
    <t>H=-0.0003*Q^2-0.3029*Q+18.088</t>
  </si>
  <si>
    <t>H=-0.0006*Q^2-0.2847*Q+65.41</t>
  </si>
  <si>
    <t>H=-0.0054*Q^2-0.332*Q+7.9821</t>
  </si>
  <si>
    <t>H=-0.0032*Q^2-0.4018*Q+9.9595</t>
  </si>
  <si>
    <t>H=-0.0029*Q^2-0.1676*Q+7.2609</t>
  </si>
  <si>
    <t>H=-0.0024*Q^2-0.2596*Q+11.469</t>
  </si>
  <si>
    <t>H=-0.0011*Q^2-0.3167*Q+13.912</t>
  </si>
  <si>
    <t>H=-0.0032*Q^2-0.267*Q+15.465</t>
  </si>
  <si>
    <t>H=-0.0002*Q^2-0.3714*Q+12.583</t>
  </si>
  <si>
    <t>H=-0.0026*Q^2-0.2859*Q+17.44</t>
  </si>
  <si>
    <t>H=-0.0004*Q^2-0.4029*Q+20.983</t>
  </si>
  <si>
    <t>H=-0.0006*Q^2-0.1026*Q+5.4139</t>
  </si>
  <si>
    <t>H=-0.0011*Q^2-0.0452*Q+6.2163</t>
  </si>
  <si>
    <t>H=-0.0002*Q^2-0.0671*Q+8.0016</t>
  </si>
  <si>
    <t>H=-0.0011*Q^2-0.1353*Q+9.2755</t>
  </si>
  <si>
    <t>H=-0.0016*Q^2-0.1249*Q+13.892</t>
  </si>
  <si>
    <t>H=-0.0007*Q^2-0.1873*Q+16.212</t>
  </si>
  <si>
    <t>H=-0.0002*Q^2-0.0372*Q+6.0381</t>
  </si>
  <si>
    <t>H=0.001*Q^2-0.2315*Q+12.058</t>
  </si>
  <si>
    <t>H=-0.0003*Q^2-0.1951*Q+15.505</t>
  </si>
  <si>
    <t>H=-0.0009*Q^2-0.1506*Q+19.081</t>
  </si>
  <si>
    <t>H=2E-06*Q^2-0.2072*Q+28</t>
  </si>
  <si>
    <t>H=-0.0003*Q^2-0.1973*Q+32.331</t>
  </si>
  <si>
    <t>H=-0.0117*Q^2-0.2868*Q+7.732</t>
  </si>
  <si>
    <t>H=0.0019*Q^2-0.5568*Q+8.0302</t>
  </si>
  <si>
    <t>H=0.0011*Q^2-0.3496*Q+9.3443</t>
  </si>
  <si>
    <t>H=-0.0001*Q^2-0.3113*Q+10.041</t>
  </si>
  <si>
    <t>H=-0.0004*Q^2-0.3151*Q+12.24</t>
  </si>
  <si>
    <t>H=-0.0021*Q^2-0.2352*Q+11.194</t>
  </si>
  <si>
    <t>H=-0.0015*Q^2-0.2667*Q+12.661</t>
  </si>
  <si>
    <t>H=0.0016*Q^2-0.3921*Q+15.013</t>
  </si>
  <si>
    <t>H=-0.0037*Q^2-0.1931*Q+12.71</t>
  </si>
  <si>
    <t>H=-0.0004*Q^2-0.3115*Q+15.308</t>
  </si>
  <si>
    <t>H=0.0014*Q^2-0.2744*Q+10.851</t>
  </si>
  <si>
    <t>H=0.0016*Q^2-0.286*Q+11.064</t>
  </si>
  <si>
    <t>H=0.0012*Q^2-0.2938*Q+12.532</t>
  </si>
  <si>
    <t>H=0.0005*Q^2-0.2211*Q+12.695</t>
  </si>
  <si>
    <t>H=-0.0001*Q^2-0.1798*Q+15.274</t>
  </si>
  <si>
    <t>H=0.0004*Q^2-0.1664*Q+9.0062</t>
  </si>
  <si>
    <t>H=0.0004*Q^2-0.2572*Q+15.422</t>
  </si>
  <si>
    <t>H=0.0004*Q^2-0.2799*Q+17.817</t>
  </si>
  <si>
    <t>H=-0.0007*Q^2-0.1833*Q+28.404</t>
  </si>
  <si>
    <t>H=-0.0008*Q^2-0.1596*Q+46.639</t>
  </si>
  <si>
    <t>H=-0.0006*Q^2-0.1091*Q+6.5529</t>
  </si>
  <si>
    <t>H=-0.0009*Q^2-0.1138*Q+8.0069</t>
  </si>
  <si>
    <t>H=-0.0011*Q^2-0.107*Q+9.0353</t>
  </si>
  <si>
    <t>H=-0.0003*Q^2-0.0879*Q+7.1643</t>
  </si>
  <si>
    <t>H=-0.0002*Q^2-0.0961*Q+8.2481</t>
  </si>
  <si>
    <t>Altura Total</t>
  </si>
  <si>
    <t>Altura Geométrica</t>
  </si>
  <si>
    <t>No. De opciones</t>
  </si>
  <si>
    <t>Tiempo del ciclo</t>
  </si>
  <si>
    <t>min</t>
  </si>
  <si>
    <t>(CT) Cota terreno</t>
  </si>
  <si>
    <t>Sumergencia mínima de la bomba</t>
  </si>
  <si>
    <r>
      <t>m</t>
    </r>
    <r>
      <rPr>
        <i/>
        <vertAlign val="superscript"/>
        <sz val="10"/>
        <color theme="1"/>
        <rFont val="Arial"/>
        <family val="2"/>
      </rPr>
      <t>3</t>
    </r>
  </si>
  <si>
    <t>(CAF) Cota Batea entrada afluente</t>
  </si>
  <si>
    <t>CT:</t>
  </si>
  <si>
    <t>CAF:</t>
  </si>
  <si>
    <t>(NA) Nivel de Arranque</t>
  </si>
  <si>
    <t>(NP) Nivel de Parada</t>
  </si>
  <si>
    <t>(NMax) Nivel de Alarma Aguas Máximas</t>
  </si>
  <si>
    <t>(NMin) Nivel de Alarma Aguas Mínimas</t>
  </si>
  <si>
    <t>NMax</t>
  </si>
  <si>
    <t>NA</t>
  </si>
  <si>
    <t>NP</t>
  </si>
  <si>
    <t>NMin</t>
  </si>
  <si>
    <t>CF</t>
  </si>
  <si>
    <t xml:space="preserve">Longitud </t>
  </si>
  <si>
    <t>HD</t>
  </si>
  <si>
    <t>GRP</t>
  </si>
  <si>
    <t>CCP</t>
  </si>
  <si>
    <t>PEAD</t>
  </si>
  <si>
    <t>Acero comercial</t>
  </si>
  <si>
    <t>Hierro Ductil</t>
  </si>
  <si>
    <t>Polietileno</t>
  </si>
  <si>
    <t>Concreto</t>
  </si>
  <si>
    <t>Velocidad máxima</t>
  </si>
  <si>
    <t>Velocidad mínima</t>
  </si>
  <si>
    <t>PASO DE SÓLIDOS</t>
  </si>
  <si>
    <t>TIPO DE CONEXIÓN</t>
  </si>
  <si>
    <t>DIÁMETRO DESCARGA</t>
  </si>
  <si>
    <t>MOTOR</t>
  </si>
  <si>
    <t>[mm]</t>
  </si>
  <si>
    <t>DN [mm]</t>
  </si>
  <si>
    <t>POTENCIA EJE DEL MOTOR</t>
  </si>
  <si>
    <t>VELOCIDAD</t>
  </si>
  <si>
    <t>SUMERGENCIA MÍNIMA</t>
  </si>
  <si>
    <t>[kW]</t>
  </si>
  <si>
    <t>[R.P.M]</t>
  </si>
  <si>
    <r>
      <t>f</t>
    </r>
    <r>
      <rPr>
        <b/>
        <i/>
        <sz val="11"/>
        <color theme="1"/>
        <rFont val="Calibri"/>
        <family val="2"/>
        <scheme val="minor"/>
      </rPr>
      <t xml:space="preserve"> IMPULSOR</t>
    </r>
  </si>
  <si>
    <t>Roscado</t>
  </si>
  <si>
    <t>Monofásico</t>
  </si>
  <si>
    <t>Trifásico</t>
  </si>
  <si>
    <t>Brida DN</t>
  </si>
  <si>
    <t>Bridado</t>
  </si>
  <si>
    <t>EFICIENCIA</t>
  </si>
  <si>
    <t xml:space="preserve"> [%]</t>
  </si>
  <si>
    <t>e=-0.0437*Q^2+1.7589*Q+33.614</t>
  </si>
  <si>
    <t>e=-0.0507*Q^2+1.8918*Q+38.34</t>
  </si>
  <si>
    <t>e=-0.0476*Q^2+1.8571*Q+43.333</t>
  </si>
  <si>
    <t>e=-0.0383*Q^2+1.664*Q+48.781</t>
  </si>
  <si>
    <t>e=-0.0283*Q^2+1.3957*Q+53.084</t>
  </si>
  <si>
    <t>e=-0.011*Q^2+0.8783*Q+34.006</t>
  </si>
  <si>
    <t>e=-0.0283*Q^2+1.3957*Q+38.084</t>
  </si>
  <si>
    <t>e=-0.0129*Q^2+0.9487*Q+43.723</t>
  </si>
  <si>
    <t>e=-0.0199*Q^2+1.1872*Q+48.375</t>
  </si>
  <si>
    <t>e=-0.0084*Q^2+0.7623*Q+54.138</t>
  </si>
  <si>
    <t>e=-0.0197*Q^2+1.1895*Q+33.326</t>
  </si>
  <si>
    <t>e=-0.0234*Q^2+1.2956*Q+37.965</t>
  </si>
  <si>
    <t>e=-0.0166*Q^2+1.1161*Q+43.302</t>
  </si>
  <si>
    <t>e=-0.0166*Q^2+1.1161*Q+48.302</t>
  </si>
  <si>
    <t>e=-0.0091*Q^2+0.806*Q+53.919</t>
  </si>
  <si>
    <t>e=-0.0088*Q^2+0.8124*Q+33.987</t>
  </si>
  <si>
    <t>e=-0.0283*Q^2+1.3957*Q+48.084</t>
  </si>
  <si>
    <t>e=-0.0129*Q^2+0.9487*Q+53.723</t>
  </si>
  <si>
    <t>e=-0.0165*Q^2+1.0821*Q+33.738</t>
  </si>
  <si>
    <t>e=-0.0084*Q^2+0.7623*Q+39.138</t>
  </si>
  <si>
    <t>e=-0.0264*Q^2+1.3346*Q+43.024</t>
  </si>
  <si>
    <t>e=-0.0142*Q^2+0.9989*Q+48.213</t>
  </si>
  <si>
    <t>e=-0.0264*Q^2+1.3346*Q+53.024</t>
  </si>
  <si>
    <t>e=-0.0142*Q^2+0.9989*Q+38.213</t>
  </si>
  <si>
    <t>e=-0.0157*Q^2+1.0878*Q+43.136</t>
  </si>
  <si>
    <t>e=-0.0108*Q^2+0.9141*Q+48.673</t>
  </si>
  <si>
    <t>e=-0.0121*Q^2+0.9349*Q+53.31</t>
  </si>
  <si>
    <t>e=-0.1343*Q^2+3.0536*Q+33.262</t>
  </si>
  <si>
    <t>e=-0.0262*Q^2+1.3443*Q+37.916</t>
  </si>
  <si>
    <t>e=-0.0259*Q^2+1.3407*Q+42.901</t>
  </si>
  <si>
    <t>e=-0.0127*Q^2+0.9506*Q+48.292</t>
  </si>
  <si>
    <t>e=-0.0104*Q^2+0.868*Q+53.602</t>
  </si>
  <si>
    <t>e=-0.0101*Q^2+0.8536*Q+33.69</t>
  </si>
  <si>
    <t>e=-0.0114*Q^2+0.9086*Q+38.415</t>
  </si>
  <si>
    <t>e=-0.0105*Q^2+0.8741*Q+43.573</t>
  </si>
  <si>
    <t>e=-0.0119*Q^2+0.9279*Q+48.336</t>
  </si>
  <si>
    <t>e=-0.0176*Q^2+1.0998*Q+53.177</t>
  </si>
  <si>
    <t>e=-0.0146*Q^2+1.0104*Q+33.436</t>
  </si>
  <si>
    <t>e=-0.0125*Q^2+0.9344*Q+38.421</t>
  </si>
  <si>
    <t>e=-0.0124*Q^2+0.9468*Q+43.276</t>
  </si>
  <si>
    <t>e=-0.0101*Q^2+0.8729*Q+48.397</t>
  </si>
  <si>
    <t>e=-0.0126*Q^2+0.9507*Q+53.28</t>
  </si>
  <si>
    <t>e=-0.0079*Q^2+0.7835*Q+33.807</t>
  </si>
  <si>
    <t>e=-0.0127*Q^2+0.9479*Q+38.323</t>
  </si>
  <si>
    <t>e=-0.1538*Q^2+3.4169*Q+43.557</t>
  </si>
  <si>
    <t>e=-0.076*Q^2+2.3971*Q+47.962</t>
  </si>
  <si>
    <t>e=-0.143*Q^2+3.2879*Q+53.747</t>
  </si>
  <si>
    <t>e=-0.0405*Q^2+1.7071*Q+33.69</t>
  </si>
  <si>
    <t>e=-0.0506*Q^2+1.9016*Q+38.282</t>
  </si>
  <si>
    <t>e=-0.0505*Q^2+1.9009*Q+43.278</t>
  </si>
  <si>
    <t>e=-0.0211*Q^2+1.2537*Q+47.794</t>
  </si>
  <si>
    <t>e=-0.0122*Q^2+0.9404*Q+53.292</t>
  </si>
  <si>
    <t>e=-0.0127*Q^2+0.9461*Q+38.338</t>
  </si>
  <si>
    <t>e=-0.0126*Q^2+0.9502*Q+43.276</t>
  </si>
  <si>
    <t>e=-0.1885*Q^2+5.0655*Q+28.393</t>
  </si>
  <si>
    <t>e=-0.2447*Q^2+5.7738*Q+32.381</t>
  </si>
  <si>
    <t>e=-0.1641*Q^2+4.8038*Q+38.74</t>
  </si>
  <si>
    <t>e=-0.1153*Q^2+4.0934*Q+44.927</t>
  </si>
  <si>
    <t>e=-0.0991*Q^2+3.7729*Q+26.751</t>
  </si>
  <si>
    <t>e=-0.0991*Q^2+3.7729*Q+31.751</t>
  </si>
  <si>
    <t>e=-0.073*Q^2+3.1002*Q+41.757</t>
  </si>
  <si>
    <t>e=-0.073*Q^2+3.1002*Q+46.757</t>
  </si>
  <si>
    <t>e=-0.073*Q^2+3.1002*Q+31.757</t>
  </si>
  <si>
    <t>e=-0.073*Q^2+3.1002*Q+36.757</t>
  </si>
  <si>
    <t>e=-0.0391*Q^2+2.2581*Q+31.247</t>
  </si>
  <si>
    <t>e=-0.0391*Q^2+2.2581*Q+36.247</t>
  </si>
  <si>
    <t>e=-0.0391*Q^2+2.2581*Q+46.247</t>
  </si>
  <si>
    <t>e=-0.0153*Q^2+1.4435*Q+32.381</t>
  </si>
  <si>
    <t>e=-0.024*Q^2+1.8437*Q+36.833</t>
  </si>
  <si>
    <t>e=-0.024*Q^2+1.8437*Q+41.833</t>
  </si>
  <si>
    <t>e=-0.0153*Q^2+1.4435*Q+27.381</t>
  </si>
  <si>
    <t>e=-0.024*Q^2+1.8437*Q+31.833</t>
  </si>
  <si>
    <t>e=-0.0153*Q^2+1.4435*Q+37.381</t>
  </si>
  <si>
    <t>e=-0.8304*Q^2+14.804*Q+11.972</t>
  </si>
  <si>
    <t>e=-0.9034*Q^2+15.575*Q+8.1338</t>
  </si>
  <si>
    <t>e=-0.1646*Q^2+5.0489*Q+36.499</t>
  </si>
  <si>
    <t>e=-0.0858*Q^2+3.6368*Q+36.26</t>
  </si>
  <si>
    <t>e=-0.1196*Q^2+5.229*Q+16.776</t>
  </si>
  <si>
    <t>e=-0.0571*Q^2+2.638*Q+39.338</t>
  </si>
  <si>
    <t>e=-0.0708*Q^2+3.2442*Q+37.989</t>
  </si>
  <si>
    <t>e=-0.0763*Q^2+3.0947*Q+39.356</t>
  </si>
  <si>
    <t>e=-0.0417*Q^2+2.7497*Q+27.769</t>
  </si>
  <si>
    <t>e=-0.0335*Q^2+2.2237*Q+31.136</t>
  </si>
  <si>
    <t>e=-0.034*Q^2+2.4213*Q+30.195</t>
  </si>
  <si>
    <t>e=-0.0211*Q^2+1.6968*Q+35.037</t>
  </si>
  <si>
    <t>e=-0.026*Q^2+2.088*Q+32.673</t>
  </si>
  <si>
    <t>e=-0.0439*Q^2+3.672*Q-5.1804</t>
  </si>
  <si>
    <t>e=-0.0361*Q^2+3.0251*Q+3.5407</t>
  </si>
  <si>
    <t>e=-0.0421*Q^2+3.5728*Q-3.9927</t>
  </si>
  <si>
    <t>e=-0.0632*Q^2+4.6806*Q-16.886</t>
  </si>
  <si>
    <t>e=-0.0433*Q^2+3.6355*Q-4.7224</t>
  </si>
  <si>
    <t>e=-0.0353*Q^2+2.9931*Q+3.8363</t>
  </si>
  <si>
    <t>e=-0.0354*Q^2+3.1694*Q+1.2717</t>
  </si>
  <si>
    <t>e=-0.0432*Q^2+3.4993*Q-1.6942</t>
  </si>
  <si>
    <t>Eficiencia</t>
  </si>
  <si>
    <t>Sumergencia</t>
  </si>
  <si>
    <t>Velocidad</t>
  </si>
  <si>
    <t>Motor</t>
  </si>
  <si>
    <t>Conexión</t>
  </si>
  <si>
    <t>Empresa</t>
  </si>
  <si>
    <r>
      <rPr>
        <b/>
        <i/>
        <sz val="11"/>
        <color theme="1"/>
        <rFont val="Symbol"/>
        <family val="1"/>
        <charset val="2"/>
      </rPr>
      <t>f</t>
    </r>
    <r>
      <rPr>
        <b/>
        <i/>
        <sz val="11"/>
        <color theme="1"/>
        <rFont val="Calibri"/>
        <family val="2"/>
        <scheme val="minor"/>
      </rPr>
      <t xml:space="preserve"> Descarga</t>
    </r>
  </si>
  <si>
    <r>
      <rPr>
        <b/>
        <i/>
        <sz val="11"/>
        <color theme="1"/>
        <rFont val="Symbol"/>
        <family val="1"/>
        <charset val="2"/>
      </rPr>
      <t>f</t>
    </r>
    <r>
      <rPr>
        <b/>
        <i/>
        <sz val="11"/>
        <color theme="1"/>
        <rFont val="Calibri"/>
        <family val="2"/>
        <scheme val="minor"/>
      </rPr>
      <t xml:space="preserve"> Impulsor</t>
    </r>
  </si>
  <si>
    <t>Modelo</t>
  </si>
  <si>
    <t>DIAMETROS</t>
  </si>
  <si>
    <t>pulg</t>
  </si>
  <si>
    <t>Bibliografia : Tabla A.1 Metcalf &amp; Eddy</t>
  </si>
  <si>
    <t>Válvula de mariposa</t>
  </si>
  <si>
    <t>Válvula de Cheque</t>
  </si>
  <si>
    <t>Codo 90 radio corto</t>
  </si>
  <si>
    <t>Codo 90 radio medio</t>
  </si>
  <si>
    <t>Codo 90 gran radio</t>
  </si>
  <si>
    <t>Te, en sentido recto</t>
  </si>
  <si>
    <t>Te, a través de la salida lateral</t>
  </si>
  <si>
    <t>ye de 45°, en sentido recto</t>
  </si>
  <si>
    <t>ye de 45°, en sentido lateral</t>
  </si>
  <si>
    <t>Entrada recta a tope</t>
  </si>
  <si>
    <t>Entrada con boca acampanada</t>
  </si>
  <si>
    <t>Entrada con tubo entrante</t>
  </si>
  <si>
    <t>Pérdidas locales</t>
  </si>
  <si>
    <t>Suma de K de accesorio</t>
  </si>
  <si>
    <t>K*Cant</t>
  </si>
  <si>
    <t>K</t>
  </si>
  <si>
    <t>Impulsion 1</t>
  </si>
  <si>
    <t>Impulsion 2</t>
  </si>
  <si>
    <t>kW</t>
  </si>
  <si>
    <t>Pérdidas de energía</t>
  </si>
  <si>
    <t>CURVA DEL SISTEMA Y CURVA DE LA BOMBA</t>
  </si>
  <si>
    <t>HDT min</t>
  </si>
  <si>
    <t>HDT max</t>
  </si>
  <si>
    <t>Curva del sistema</t>
  </si>
  <si>
    <t>Graficar</t>
  </si>
  <si>
    <t>[m3/h]</t>
  </si>
  <si>
    <t>[L/s]</t>
  </si>
  <si>
    <t>[m]</t>
  </si>
  <si>
    <t>DATOS DE ENTRADA</t>
  </si>
  <si>
    <t>Bibliografia : tabla 9.5 EPM</t>
  </si>
  <si>
    <t>BOMBAS DISPONIBLES PARA LOS DATOS SUMINISTRADOS</t>
  </si>
  <si>
    <t>Ingresar los siguientes datos:</t>
  </si>
  <si>
    <t>Temperatura del liquido</t>
  </si>
  <si>
    <t>Tiempo del ciclo requerido</t>
  </si>
  <si>
    <t>Cota del Nivel de Entrega</t>
  </si>
  <si>
    <t>Cota terreno</t>
  </si>
  <si>
    <t>Longitud  entre salida de EBAR y descarga</t>
  </si>
  <si>
    <r>
      <t>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/hr</t>
    </r>
  </si>
  <si>
    <t>Cantidad de accesorios por tubería de impulsión</t>
  </si>
  <si>
    <t>impulsión 2</t>
  </si>
  <si>
    <t>Bibliografia : Tabla B.6.11 RAS</t>
  </si>
  <si>
    <t>GRAFICA DE LA CURVA DEL SISTEMA VS CURVA DE LA BOMBA</t>
  </si>
  <si>
    <r>
      <rPr>
        <b/>
        <i/>
        <sz val="11"/>
        <color theme="1"/>
        <rFont val="Symbol"/>
        <family val="1"/>
        <charset val="2"/>
      </rPr>
      <t>f</t>
    </r>
    <r>
      <rPr>
        <b/>
        <i/>
        <sz val="11"/>
        <color theme="1"/>
        <rFont val="Calibri"/>
        <family val="2"/>
        <scheme val="minor"/>
      </rPr>
      <t xml:space="preserve"> Sólidos</t>
    </r>
  </si>
  <si>
    <t xml:space="preserve">VALIDACIÓN DE LAS POSIBLES BOMBAS </t>
  </si>
  <si>
    <t>INFORMACIÓN DEL PUNTO BOMBEO</t>
  </si>
  <si>
    <t>Potencia útil</t>
  </si>
  <si>
    <t>DIMENSIONAMIENTO POZO HÚMEDO DEL BOMBEO DE AGUA RESIDUAL</t>
  </si>
  <si>
    <t>DATOS DE ENTRADA DEL POZO HÚMEDO</t>
  </si>
  <si>
    <t>POZO HÚMEDO</t>
  </si>
  <si>
    <t>Diámetro</t>
  </si>
  <si>
    <t>Diámetro mínimo</t>
  </si>
  <si>
    <t>DATOS DE ENTRADA TUBERÍA DE IMPULSIÓN</t>
  </si>
  <si>
    <t>Material impulsión 1</t>
  </si>
  <si>
    <t>Material impulsión 2</t>
  </si>
  <si>
    <t>Longitud impulsión 1</t>
  </si>
  <si>
    <t>longitud impulsión 2</t>
  </si>
  <si>
    <t>Diámetro máximo</t>
  </si>
  <si>
    <t>Valor por kW</t>
  </si>
  <si>
    <t>Periodo de diseño</t>
  </si>
  <si>
    <t>años</t>
  </si>
  <si>
    <t>hr/año</t>
  </si>
  <si>
    <t>hr/periodo</t>
  </si>
  <si>
    <t>Tasa de descuento</t>
  </si>
  <si>
    <t>EA</t>
  </si>
  <si>
    <t>$/kW.hr</t>
  </si>
  <si>
    <t>COSTO DE ADQUISICIÓN</t>
  </si>
  <si>
    <t>VALIDACIÓN</t>
  </si>
  <si>
    <t>VALIDACIÓN DE LA CURVA</t>
  </si>
  <si>
    <t>SUMINISTROS</t>
  </si>
  <si>
    <t>SUMINISTRO</t>
  </si>
  <si>
    <t>INSTALACIÓN</t>
  </si>
  <si>
    <t>Ítem</t>
  </si>
  <si>
    <t>IMPULSIÓN 1</t>
  </si>
  <si>
    <t>ITEM</t>
  </si>
  <si>
    <t>Tubería 1.25"</t>
  </si>
  <si>
    <t>Tubería 1.5"</t>
  </si>
  <si>
    <t>Tubería 2"</t>
  </si>
  <si>
    <t>Tubería 2.5"</t>
  </si>
  <si>
    <t>Tubería 3"</t>
  </si>
  <si>
    <t>Tubería 4"</t>
  </si>
  <si>
    <t>Codo 90 radio corto 1.25"</t>
  </si>
  <si>
    <t>Codo 90 radio corto 1.5"</t>
  </si>
  <si>
    <t>Codo 90 radio corto 2"</t>
  </si>
  <si>
    <t>Codo 90 radio corto 2.5"</t>
  </si>
  <si>
    <t>Codo 90 radio corto 3"</t>
  </si>
  <si>
    <t>Codo 90 radio corto 4"</t>
  </si>
  <si>
    <t>Codo 90 radio medio 1.25"</t>
  </si>
  <si>
    <t>Codo 90 radio medio 1.5"</t>
  </si>
  <si>
    <t>Codo 90 radio medio 2"</t>
  </si>
  <si>
    <t>Codo 90 radio medio 2.5"</t>
  </si>
  <si>
    <t>Codo 90 radio medio 3"</t>
  </si>
  <si>
    <t>Codo 90 radio medio 4"</t>
  </si>
  <si>
    <t>Codo 90 gran radio 1.25"</t>
  </si>
  <si>
    <t>Codo 90 gran radio 1.5"</t>
  </si>
  <si>
    <t>Codo 90 gran radio 2"</t>
  </si>
  <si>
    <t>Codo 90 gran radio 2.5"</t>
  </si>
  <si>
    <t>Codo 90 gran radio 3"</t>
  </si>
  <si>
    <t>Codo 90 gran radio 4"</t>
  </si>
  <si>
    <t>Codo 45 1.25"</t>
  </si>
  <si>
    <t>Codo 45 1.5"</t>
  </si>
  <si>
    <t>Codo 45 2"</t>
  </si>
  <si>
    <t>Codo 45 2.5"</t>
  </si>
  <si>
    <t>Codo 45 3"</t>
  </si>
  <si>
    <t>Codo 45 4"</t>
  </si>
  <si>
    <t>Tee 1.25"</t>
  </si>
  <si>
    <t>Tee 1.5"</t>
  </si>
  <si>
    <t>Tee 2"</t>
  </si>
  <si>
    <t>Tee 2.5"</t>
  </si>
  <si>
    <t>Tee 3"</t>
  </si>
  <si>
    <t>Tee 4"</t>
  </si>
  <si>
    <t>Uniones 1.25"</t>
  </si>
  <si>
    <t>Uniones 1.5"</t>
  </si>
  <si>
    <t>Uniones 2"</t>
  </si>
  <si>
    <t>Uniones 2.5"</t>
  </si>
  <si>
    <t>Uniones 3"</t>
  </si>
  <si>
    <t>Uniones 4"</t>
  </si>
  <si>
    <t>Yee 1.25"</t>
  </si>
  <si>
    <t>Yee 1.5"</t>
  </si>
  <si>
    <t>Yee 2"</t>
  </si>
  <si>
    <t>Yee 2.5"</t>
  </si>
  <si>
    <t>Yee 3"</t>
  </si>
  <si>
    <t>Yee 4"</t>
  </si>
  <si>
    <t>Válvula de globo 1.25"</t>
  </si>
  <si>
    <t>Válvula de globo 1.5"</t>
  </si>
  <si>
    <t>Válvula de globo 2"</t>
  </si>
  <si>
    <t>Válvula de globo 2.5"</t>
  </si>
  <si>
    <t>Válvula de globo 3"</t>
  </si>
  <si>
    <t>Válvula de globo 4"</t>
  </si>
  <si>
    <t>Válvula de mariposa 1.25"</t>
  </si>
  <si>
    <t>Válvula de mariposa 1.5"</t>
  </si>
  <si>
    <t>Válvula de mariposa 2"</t>
  </si>
  <si>
    <t>Válvula de mariposa 2.5"</t>
  </si>
  <si>
    <t>Válvula de mariposa 3"</t>
  </si>
  <si>
    <t>Válvula de mariposa 4"</t>
  </si>
  <si>
    <t>Válvula de Cheque 1.25"</t>
  </si>
  <si>
    <t>Válvula de Cheque 1.5"</t>
  </si>
  <si>
    <t>Válvula de Cheque 2"</t>
  </si>
  <si>
    <t>Válvula de Cheque 2.5"</t>
  </si>
  <si>
    <t>Válvula de Cheque 3"</t>
  </si>
  <si>
    <t>Válvula de Cheque 4"</t>
  </si>
  <si>
    <t>Válvula de compuerta 1.25"</t>
  </si>
  <si>
    <t>Válvula de compuerta 1.5"</t>
  </si>
  <si>
    <t>Válvula de compuerta 2"</t>
  </si>
  <si>
    <t>Válvula de compuerta 2.5"</t>
  </si>
  <si>
    <t>Válvula de compuerta 3"</t>
  </si>
  <si>
    <t>Válvula de compuerta 4"</t>
  </si>
  <si>
    <t>VÁLVULAS</t>
  </si>
  <si>
    <t>TOTAL</t>
  </si>
  <si>
    <t>IMPULSIÓN 2</t>
  </si>
  <si>
    <t>Tasa Aumento del costo energético</t>
  </si>
  <si>
    <t>in</t>
  </si>
  <si>
    <t>COSTOS</t>
  </si>
  <si>
    <t>BOMBA</t>
  </si>
  <si>
    <t>OPTIMIZACIÓN</t>
  </si>
  <si>
    <t>Cota Batea afluente a la EBAR</t>
  </si>
  <si>
    <t>Costo Total del proyecto</t>
  </si>
  <si>
    <t>Diámetro impulsión 1</t>
  </si>
  <si>
    <t>Diámetro impulsión 2</t>
  </si>
  <si>
    <t>Horas de bombeo en 1 año</t>
  </si>
  <si>
    <t>Horas de bombeo en el periodo</t>
  </si>
  <si>
    <t>ENERGÍA</t>
  </si>
  <si>
    <t>TUBERÍA 1</t>
  </si>
  <si>
    <t>TUBERÍA 2</t>
  </si>
  <si>
    <t>Costo energía</t>
  </si>
  <si>
    <t>Costo energía (VPN)</t>
  </si>
  <si>
    <t>$/año</t>
  </si>
  <si>
    <t>$/periodo</t>
  </si>
  <si>
    <t>$</t>
  </si>
  <si>
    <t>MATERIAL</t>
  </si>
  <si>
    <t>DIÁMETRO</t>
  </si>
  <si>
    <t>UNIDAD</t>
  </si>
  <si>
    <t>CANTIDAD</t>
  </si>
  <si>
    <t>VALOR UNITARIO
SUMINISTROS</t>
  </si>
  <si>
    <t>VALOR UNITARIO
INSTALACIÓN</t>
  </si>
  <si>
    <t>VALOR UNITARIO 
TOTAL</t>
  </si>
  <si>
    <t>VALOR TOTAL</t>
  </si>
  <si>
    <t>Tubería</t>
  </si>
  <si>
    <t>ml</t>
  </si>
  <si>
    <t>un</t>
  </si>
  <si>
    <t>Tee</t>
  </si>
  <si>
    <t>Yee</t>
  </si>
  <si>
    <t>PRESUPUESTO PRELIMINAR</t>
  </si>
  <si>
    <t>MODELO</t>
  </si>
  <si>
    <t>POTENCIA</t>
  </si>
  <si>
    <t>COSTO ENERGÍA</t>
  </si>
  <si>
    <t>COSTO ENERGÍA (VPN)</t>
  </si>
  <si>
    <t>MATERIALES POR TUBERÍA DE IMPULSIÓN</t>
  </si>
  <si>
    <t>Costo de adquisición</t>
  </si>
  <si>
    <t>ÍTEM</t>
  </si>
  <si>
    <t>TOTAL IMPULSIÓN 1</t>
  </si>
  <si>
    <t>TOTAL IMPULSIÓN 2</t>
  </si>
  <si>
    <t>DESCRIPCIÓN</t>
  </si>
  <si>
    <t>X</t>
  </si>
  <si>
    <t xml:space="preserve">Nota: El presente presupuesto es una base para determinar el costo del proyecto óptimo por lo cual no tiene en cuenta los costos de excavación, demoliciones o reparaciones y por lo tanto no se debe tomar como presupuesto final del proyecto. </t>
  </si>
  <si>
    <t>COSTOS DE LA BOMBA ÓPTIMA</t>
  </si>
  <si>
    <t>COSTOS DE LAS TUBERÍAS ÓPTIMAS</t>
  </si>
  <si>
    <t>Bomba Óptima</t>
  </si>
  <si>
    <t>Pérdidas por fricción Impulsión 1</t>
  </si>
  <si>
    <t>Pérdidas menores Impulsión 1</t>
  </si>
  <si>
    <t>Pérdidas por fricción Impulsión 2</t>
  </si>
  <si>
    <t>Pérdidas menores Impulsión 2</t>
  </si>
  <si>
    <t xml:space="preserve">Peso específico </t>
  </si>
  <si>
    <r>
      <t>kN/m</t>
    </r>
    <r>
      <rPr>
        <vertAlign val="superscript"/>
        <sz val="11"/>
        <color theme="1"/>
        <rFont val="Calibri"/>
        <family val="2"/>
        <scheme val="minor"/>
      </rPr>
      <t>3</t>
    </r>
  </si>
  <si>
    <r>
      <rPr>
        <b/>
        <i/>
        <sz val="9"/>
        <color theme="1"/>
        <rFont val="Calibri"/>
        <family val="2"/>
        <scheme val="minor"/>
      </rPr>
      <t>Nota</t>
    </r>
    <r>
      <rPr>
        <i/>
        <sz val="9"/>
        <color theme="1"/>
        <rFont val="Calibri"/>
        <family val="2"/>
        <scheme val="minor"/>
      </rPr>
      <t>: impulsión 1 se refiere a la tubería dentro de la estación de bombeo, incluida la cámara de válvulas; impulsión 2 se refiere a la tubería desde la estación de bombeo hasta el punto de descarga.</t>
    </r>
  </si>
  <si>
    <t>PÉRDIDAS POR FRICCIÓN IMPULSIÓN 2</t>
  </si>
  <si>
    <t>PÉRDIDAS POR FRICCIÓN IMPULSIÓN 1</t>
  </si>
</sst>
</file>

<file path=xl/styles.xml><?xml version="1.0" encoding="utf-8"?>
<styleSheet xmlns="http://schemas.openxmlformats.org/spreadsheetml/2006/main">
  <numFmts count="7">
    <numFmt numFmtId="44" formatCode="_(&quot;$&quot;\ * #,##0.00_);_(&quot;$&quot;\ * \(#,##0.00\);_(&quot;$&quot;\ * &quot;-&quot;??_);_(@_)"/>
    <numFmt numFmtId="164" formatCode="0.0"/>
    <numFmt numFmtId="165" formatCode="0.000"/>
    <numFmt numFmtId="166" formatCode="0.0000"/>
    <numFmt numFmtId="167" formatCode="0.000E+00"/>
    <numFmt numFmtId="168" formatCode="#,##0.000"/>
    <numFmt numFmtId="169" formatCode="_(&quot;$&quot;\ * #,##0_);_(&quot;$&quot;\ * \(#,##0\);_(&quot;$&quot;\ * &quot;-&quot;??_);_(@_)"/>
  </numFmts>
  <fonts count="3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i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name val="Calibri"/>
      <family val="2"/>
      <scheme val="minor"/>
    </font>
    <font>
      <i/>
      <sz val="11"/>
      <color rgb="FF00B0F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b/>
      <u/>
      <sz val="10"/>
      <color theme="1"/>
      <name val="Arial"/>
      <family val="2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FFC000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b/>
      <u/>
      <sz val="14"/>
      <color rgb="FF0070C0"/>
      <name val="Calibri"/>
      <family val="2"/>
      <scheme val="minor"/>
    </font>
    <font>
      <i/>
      <vertAlign val="superscript"/>
      <sz val="10"/>
      <color theme="1"/>
      <name val="Arial"/>
      <family val="2"/>
    </font>
    <font>
      <b/>
      <i/>
      <sz val="10"/>
      <color theme="9" tint="-0.249977111117893"/>
      <name val="Calibri"/>
      <family val="2"/>
      <scheme val="minor"/>
    </font>
    <font>
      <b/>
      <i/>
      <sz val="11"/>
      <color theme="1"/>
      <name val="Symbol"/>
      <family val="1"/>
      <charset val="2"/>
    </font>
    <font>
      <sz val="9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u/>
      <sz val="12"/>
      <color rgb="FF0070C0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9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mediumDashDotDot">
        <color rgb="FF00B0F0"/>
      </bottom>
      <diagonal/>
    </border>
    <border>
      <left/>
      <right/>
      <top/>
      <bottom style="mediumDashDotDot">
        <color rgb="FF00B0F0"/>
      </bottom>
      <diagonal/>
    </border>
    <border>
      <left style="medium">
        <color auto="1"/>
      </left>
      <right/>
      <top style="mediumDashDotDot">
        <color rgb="FF00B0F0"/>
      </top>
      <bottom style="mediumDashDotDot">
        <color rgb="FF00B0F0"/>
      </bottom>
      <diagonal/>
    </border>
    <border>
      <left/>
      <right/>
      <top style="mediumDashDotDot">
        <color rgb="FF00B0F0"/>
      </top>
      <bottom style="mediumDashDotDot">
        <color rgb="FF00B0F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1" fillId="0" borderId="0"/>
    <xf numFmtId="44" fontId="30" fillId="0" borderId="0" applyFont="0" applyFill="0" applyBorder="0" applyAlignment="0" applyProtection="0"/>
  </cellStyleXfs>
  <cellXfs count="645">
    <xf numFmtId="0" fontId="0" fillId="0" borderId="0" xfId="0"/>
    <xf numFmtId="2" fontId="0" fillId="2" borderId="0" xfId="0" applyNumberFormat="1" applyFill="1" applyBorder="1" applyAlignment="1">
      <alignment horizontal="center"/>
    </xf>
    <xf numFmtId="165" fontId="0" fillId="2" borderId="0" xfId="0" applyNumberFormat="1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166" fontId="2" fillId="2" borderId="0" xfId="0" applyNumberFormat="1" applyFont="1" applyFill="1" applyBorder="1" applyAlignment="1">
      <alignment horizontal="center"/>
    </xf>
    <xf numFmtId="165" fontId="8" fillId="2" borderId="0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2" fontId="0" fillId="2" borderId="10" xfId="0" applyNumberFormat="1" applyFill="1" applyBorder="1" applyAlignment="1">
      <alignment horizontal="center"/>
    </xf>
    <xf numFmtId="2" fontId="0" fillId="2" borderId="0" xfId="0" applyNumberForma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2" fontId="0" fillId="2" borderId="6" xfId="0" applyNumberFormat="1" applyFill="1" applyBorder="1" applyAlignment="1">
      <alignment horizontal="center"/>
    </xf>
    <xf numFmtId="2" fontId="0" fillId="2" borderId="11" xfId="0" applyNumberFormat="1" applyFill="1" applyBorder="1" applyAlignment="1">
      <alignment horizontal="center"/>
    </xf>
    <xf numFmtId="2" fontId="0" fillId="2" borderId="32" xfId="0" applyNumberForma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2" fontId="16" fillId="2" borderId="0" xfId="0" applyNumberFormat="1" applyFont="1" applyFill="1" applyBorder="1" applyAlignment="1">
      <alignment horizontal="center"/>
    </xf>
    <xf numFmtId="0" fontId="13" fillId="2" borderId="0" xfId="0" applyFont="1" applyFill="1" applyAlignment="1">
      <alignment horizontal="center"/>
    </xf>
    <xf numFmtId="0" fontId="12" fillId="2" borderId="0" xfId="0" applyFont="1" applyFill="1" applyBorder="1" applyAlignment="1"/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0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/>
    </xf>
    <xf numFmtId="2" fontId="16" fillId="2" borderId="8" xfId="0" applyNumberFormat="1" applyFont="1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13" fillId="2" borderId="13" xfId="0" applyFont="1" applyFill="1" applyBorder="1" applyAlignment="1">
      <alignment horizontal="center"/>
    </xf>
    <xf numFmtId="0" fontId="0" fillId="2" borderId="8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/>
    </xf>
    <xf numFmtId="0" fontId="0" fillId="2" borderId="0" xfId="0" applyFill="1"/>
    <xf numFmtId="0" fontId="0" fillId="2" borderId="6" xfId="0" applyFill="1" applyBorder="1"/>
    <xf numFmtId="0" fontId="0" fillId="2" borderId="0" xfId="0" applyFill="1" applyBorder="1"/>
    <xf numFmtId="0" fontId="2" fillId="2" borderId="1" xfId="0" applyFon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1" fontId="0" fillId="2" borderId="1" xfId="0" applyNumberFormat="1" applyFill="1" applyBorder="1"/>
    <xf numFmtId="0" fontId="2" fillId="2" borderId="1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/>
    </xf>
    <xf numFmtId="165" fontId="17" fillId="2" borderId="0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2" fontId="0" fillId="4" borderId="1" xfId="0" applyNumberFormat="1" applyFill="1" applyBorder="1" applyAlignment="1">
      <alignment horizontal="center"/>
    </xf>
    <xf numFmtId="0" fontId="0" fillId="0" borderId="1" xfId="0" applyBorder="1"/>
    <xf numFmtId="166" fontId="0" fillId="0" borderId="1" xfId="0" applyNumberFormat="1" applyBorder="1"/>
    <xf numFmtId="0" fontId="0" fillId="2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2" fontId="0" fillId="4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166" fontId="0" fillId="0" borderId="1" xfId="0" applyNumberFormat="1" applyBorder="1" applyAlignment="1">
      <alignment vertical="center"/>
    </xf>
    <xf numFmtId="2" fontId="8" fillId="3" borderId="1" xfId="0" applyNumberFormat="1" applyFont="1" applyFill="1" applyBorder="1" applyAlignment="1">
      <alignment horizontal="center" vertical="center"/>
    </xf>
    <xf numFmtId="2" fontId="8" fillId="4" borderId="1" xfId="0" applyNumberFormat="1" applyFont="1" applyFill="1" applyBorder="1" applyAlignment="1">
      <alignment horizontal="center" vertical="center"/>
    </xf>
    <xf numFmtId="166" fontId="0" fillId="2" borderId="1" xfId="0" applyNumberFormat="1" applyFill="1" applyBorder="1" applyAlignment="1">
      <alignment horizontal="center"/>
    </xf>
    <xf numFmtId="0" fontId="1" fillId="2" borderId="0" xfId="0" applyFont="1" applyFill="1" applyBorder="1" applyAlignment="1"/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/>
    <xf numFmtId="2" fontId="0" fillId="5" borderId="1" xfId="0" applyNumberFormat="1" applyFill="1" applyBorder="1" applyAlignment="1">
      <alignment horizontal="center"/>
    </xf>
    <xf numFmtId="0" fontId="0" fillId="5" borderId="1" xfId="0" applyFill="1" applyBorder="1"/>
    <xf numFmtId="0" fontId="0" fillId="5" borderId="1" xfId="0" applyFill="1" applyBorder="1" applyAlignment="1">
      <alignment horizontal="center"/>
    </xf>
    <xf numFmtId="0" fontId="0" fillId="5" borderId="1" xfId="0" applyFill="1" applyBorder="1" applyAlignment="1">
      <alignment vertical="center"/>
    </xf>
    <xf numFmtId="0" fontId="14" fillId="2" borderId="0" xfId="0" applyFont="1" applyFill="1" applyBorder="1" applyAlignment="1">
      <alignment horizontal="center" vertical="center"/>
    </xf>
    <xf numFmtId="166" fontId="0" fillId="2" borderId="0" xfId="0" applyNumberFormat="1" applyFill="1" applyBorder="1" applyAlignment="1">
      <alignment horizontal="center"/>
    </xf>
    <xf numFmtId="166" fontId="0" fillId="2" borderId="0" xfId="0" applyNumberFormat="1" applyFill="1" applyBorder="1"/>
    <xf numFmtId="166" fontId="0" fillId="2" borderId="0" xfId="0" applyNumberForma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1" fillId="5" borderId="36" xfId="0" applyFont="1" applyFill="1" applyBorder="1" applyAlignment="1"/>
    <xf numFmtId="0" fontId="1" fillId="5" borderId="47" xfId="0" applyFont="1" applyFill="1" applyBorder="1" applyAlignment="1"/>
    <xf numFmtId="0" fontId="1" fillId="5" borderId="16" xfId="0" applyFont="1" applyFill="1" applyBorder="1" applyAlignment="1"/>
    <xf numFmtId="0" fontId="0" fillId="2" borderId="0" xfId="0" applyFont="1" applyFill="1"/>
    <xf numFmtId="0" fontId="0" fillId="2" borderId="1" xfId="0" applyFont="1" applyFill="1" applyBorder="1"/>
    <xf numFmtId="0" fontId="0" fillId="2" borderId="0" xfId="0" applyFont="1" applyFill="1" applyAlignment="1">
      <alignment horizontal="center"/>
    </xf>
    <xf numFmtId="0" fontId="0" fillId="2" borderId="24" xfId="0" applyFont="1" applyFill="1" applyBorder="1"/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/>
    <xf numFmtId="0" fontId="0" fillId="2" borderId="8" xfId="0" applyFont="1" applyFill="1" applyBorder="1"/>
    <xf numFmtId="0" fontId="0" fillId="2" borderId="7" xfId="0" applyFont="1" applyFill="1" applyBorder="1"/>
    <xf numFmtId="0" fontId="14" fillId="2" borderId="5" xfId="0" applyFont="1" applyFill="1" applyBorder="1"/>
    <xf numFmtId="0" fontId="0" fillId="2" borderId="13" xfId="0" applyFont="1" applyFill="1" applyBorder="1"/>
    <xf numFmtId="0" fontId="0" fillId="2" borderId="1" xfId="0" applyFont="1" applyFill="1" applyBorder="1" applyAlignment="1">
      <alignment horizontal="center"/>
    </xf>
    <xf numFmtId="0" fontId="0" fillId="2" borderId="22" xfId="0" applyFont="1" applyFill="1" applyBorder="1"/>
    <xf numFmtId="0" fontId="0" fillId="2" borderId="23" xfId="0" applyFont="1" applyFill="1" applyBorder="1" applyAlignment="1">
      <alignment horizontal="center"/>
    </xf>
    <xf numFmtId="0" fontId="14" fillId="2" borderId="9" xfId="0" applyFont="1" applyFill="1" applyBorder="1"/>
    <xf numFmtId="0" fontId="0" fillId="2" borderId="10" xfId="0" applyFont="1" applyFill="1" applyBorder="1" applyAlignment="1">
      <alignment horizontal="center"/>
    </xf>
    <xf numFmtId="0" fontId="0" fillId="2" borderId="11" xfId="0" applyFont="1" applyFill="1" applyBorder="1"/>
    <xf numFmtId="0" fontId="0" fillId="2" borderId="5" xfId="0" applyFill="1" applyBorder="1"/>
    <xf numFmtId="2" fontId="0" fillId="2" borderId="3" xfId="0" applyNumberFormat="1" applyFont="1" applyFill="1" applyBorder="1"/>
    <xf numFmtId="2" fontId="0" fillId="2" borderId="1" xfId="0" applyNumberFormat="1" applyFont="1" applyFill="1" applyBorder="1"/>
    <xf numFmtId="0" fontId="0" fillId="2" borderId="6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18" fillId="2" borderId="0" xfId="0" applyFont="1" applyFill="1" applyBorder="1"/>
    <xf numFmtId="0" fontId="0" fillId="2" borderId="2" xfId="0" applyFont="1" applyFill="1" applyBorder="1" applyAlignment="1">
      <alignment vertical="center"/>
    </xf>
    <xf numFmtId="0" fontId="0" fillId="2" borderId="5" xfId="0" applyFont="1" applyFill="1" applyBorder="1" applyAlignment="1">
      <alignment vertical="center"/>
    </xf>
    <xf numFmtId="2" fontId="0" fillId="2" borderId="1" xfId="0" applyNumberFormat="1" applyFont="1" applyFill="1" applyBorder="1" applyAlignment="1">
      <alignment vertical="center"/>
    </xf>
    <xf numFmtId="0" fontId="0" fillId="2" borderId="9" xfId="0" applyFont="1" applyFill="1" applyBorder="1" applyAlignment="1">
      <alignment vertical="center"/>
    </xf>
    <xf numFmtId="2" fontId="0" fillId="2" borderId="10" xfId="0" applyNumberFormat="1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19" fillId="2" borderId="0" xfId="0" applyFont="1" applyFill="1" applyBorder="1" applyAlignment="1">
      <alignment wrapText="1"/>
    </xf>
    <xf numFmtId="0" fontId="21" fillId="2" borderId="22" xfId="0" applyFont="1" applyFill="1" applyBorder="1"/>
    <xf numFmtId="0" fontId="21" fillId="2" borderId="23" xfId="0" applyFont="1" applyFill="1" applyBorder="1"/>
    <xf numFmtId="0" fontId="21" fillId="2" borderId="24" xfId="0" applyFont="1" applyFill="1" applyBorder="1"/>
    <xf numFmtId="0" fontId="21" fillId="2" borderId="7" xfId="0" applyFont="1" applyFill="1" applyBorder="1"/>
    <xf numFmtId="0" fontId="21" fillId="2" borderId="0" xfId="0" applyFont="1" applyFill="1" applyBorder="1"/>
    <xf numFmtId="0" fontId="21" fillId="2" borderId="20" xfId="0" applyFont="1" applyFill="1" applyBorder="1"/>
    <xf numFmtId="2" fontId="21" fillId="2" borderId="20" xfId="0" applyNumberFormat="1" applyFont="1" applyFill="1" applyBorder="1"/>
    <xf numFmtId="0" fontId="21" fillId="2" borderId="8" xfId="0" applyFont="1" applyFill="1" applyBorder="1"/>
    <xf numFmtId="0" fontId="21" fillId="2" borderId="13" xfId="0" applyFont="1" applyFill="1" applyBorder="1"/>
    <xf numFmtId="0" fontId="21" fillId="2" borderId="26" xfId="0" applyFont="1" applyFill="1" applyBorder="1"/>
    <xf numFmtId="2" fontId="21" fillId="2" borderId="26" xfId="0" applyNumberFormat="1" applyFont="1" applyFill="1" applyBorder="1"/>
    <xf numFmtId="0" fontId="21" fillId="2" borderId="48" xfId="0" applyFont="1" applyFill="1" applyBorder="1"/>
    <xf numFmtId="2" fontId="21" fillId="2" borderId="49" xfId="0" applyNumberFormat="1" applyFont="1" applyFill="1" applyBorder="1"/>
    <xf numFmtId="0" fontId="21" fillId="2" borderId="50" xfId="0" applyFont="1" applyFill="1" applyBorder="1"/>
    <xf numFmtId="2" fontId="21" fillId="2" borderId="51" xfId="0" applyNumberFormat="1" applyFont="1" applyFill="1" applyBorder="1"/>
    <xf numFmtId="0" fontId="21" fillId="2" borderId="21" xfId="0" applyFont="1" applyFill="1" applyBorder="1"/>
    <xf numFmtId="0" fontId="21" fillId="5" borderId="0" xfId="0" applyFont="1" applyFill="1" applyBorder="1"/>
    <xf numFmtId="0" fontId="21" fillId="5" borderId="8" xfId="0" applyFont="1" applyFill="1" applyBorder="1"/>
    <xf numFmtId="0" fontId="21" fillId="5" borderId="13" xfId="0" applyFont="1" applyFill="1" applyBorder="1"/>
    <xf numFmtId="0" fontId="21" fillId="5" borderId="24" xfId="0" applyFont="1" applyFill="1" applyBorder="1"/>
    <xf numFmtId="0" fontId="21" fillId="5" borderId="20" xfId="0" applyFont="1" applyFill="1" applyBorder="1"/>
    <xf numFmtId="0" fontId="19" fillId="2" borderId="0" xfId="0" applyFont="1" applyFill="1" applyBorder="1" applyAlignment="1">
      <alignment horizontal="center" wrapText="1"/>
    </xf>
    <xf numFmtId="11" fontId="0" fillId="0" borderId="12" xfId="0" applyNumberFormat="1" applyBorder="1" applyAlignment="1">
      <alignment horizontal="center" wrapText="1"/>
    </xf>
    <xf numFmtId="167" fontId="0" fillId="0" borderId="12" xfId="0" applyNumberFormat="1" applyBorder="1" applyAlignment="1">
      <alignment horizontal="center" wrapText="1"/>
    </xf>
    <xf numFmtId="166" fontId="0" fillId="0" borderId="12" xfId="0" applyNumberFormat="1" applyBorder="1" applyAlignment="1">
      <alignment horizontal="center" wrapText="1"/>
    </xf>
    <xf numFmtId="164" fontId="0" fillId="0" borderId="12" xfId="0" applyNumberFormat="1" applyBorder="1" applyAlignment="1">
      <alignment horizontal="center" wrapText="1"/>
    </xf>
    <xf numFmtId="167" fontId="0" fillId="2" borderId="1" xfId="0" applyNumberFormat="1" applyFill="1" applyBorder="1" applyAlignment="1">
      <alignment horizontal="center"/>
    </xf>
    <xf numFmtId="165" fontId="0" fillId="2" borderId="0" xfId="0" applyNumberFormat="1" applyFill="1" applyBorder="1"/>
    <xf numFmtId="1" fontId="0" fillId="2" borderId="1" xfId="0" applyNumberFormat="1" applyFont="1" applyFill="1" applyBorder="1"/>
    <xf numFmtId="0" fontId="0" fillId="2" borderId="2" xfId="0" applyFill="1" applyBorder="1" applyAlignment="1">
      <alignment horizontal="left"/>
    </xf>
    <xf numFmtId="2" fontId="0" fillId="2" borderId="3" xfId="0" applyNumberFormat="1" applyFill="1" applyBorder="1"/>
    <xf numFmtId="0" fontId="0" fillId="2" borderId="4" xfId="0" applyFill="1" applyBorder="1"/>
    <xf numFmtId="0" fontId="0" fillId="2" borderId="5" xfId="0" applyFill="1" applyBorder="1" applyAlignment="1"/>
    <xf numFmtId="0" fontId="5" fillId="2" borderId="5" xfId="0" applyFont="1" applyFill="1" applyBorder="1" applyAlignment="1"/>
    <xf numFmtId="0" fontId="1" fillId="2" borderId="9" xfId="0" applyFont="1" applyFill="1" applyBorder="1" applyAlignment="1"/>
    <xf numFmtId="2" fontId="1" fillId="2" borderId="10" xfId="0" applyNumberFormat="1" applyFont="1" applyFill="1" applyBorder="1"/>
    <xf numFmtId="0" fontId="1" fillId="2" borderId="11" xfId="0" applyFont="1" applyFill="1" applyBorder="1"/>
    <xf numFmtId="0" fontId="14" fillId="6" borderId="33" xfId="0" applyFont="1" applyFill="1" applyBorder="1" applyAlignment="1">
      <alignment horizontal="center"/>
    </xf>
    <xf numFmtId="0" fontId="14" fillId="2" borderId="36" xfId="0" applyFont="1" applyFill="1" applyBorder="1" applyAlignment="1">
      <alignment horizontal="center" vertical="center"/>
    </xf>
    <xf numFmtId="0" fontId="14" fillId="2" borderId="15" xfId="0" applyFont="1" applyFill="1" applyBorder="1"/>
    <xf numFmtId="0" fontId="0" fillId="2" borderId="45" xfId="0" applyFont="1" applyFill="1" applyBorder="1"/>
    <xf numFmtId="0" fontId="2" fillId="5" borderId="52" xfId="0" applyFont="1" applyFill="1" applyBorder="1" applyAlignment="1">
      <alignment horizontal="center"/>
    </xf>
    <xf numFmtId="0" fontId="14" fillId="2" borderId="30" xfId="0" applyFont="1" applyFill="1" applyBorder="1" applyAlignment="1">
      <alignment horizontal="center" vertical="center"/>
    </xf>
    <xf numFmtId="0" fontId="14" fillId="2" borderId="29" xfId="0" applyFont="1" applyFill="1" applyBorder="1" applyAlignment="1">
      <alignment horizontal="center" vertical="center"/>
    </xf>
    <xf numFmtId="0" fontId="22" fillId="2" borderId="54" xfId="0" applyFont="1" applyFill="1" applyBorder="1" applyAlignment="1">
      <alignment horizontal="center" vertical="center"/>
    </xf>
    <xf numFmtId="0" fontId="0" fillId="0" borderId="30" xfId="0" applyBorder="1"/>
    <xf numFmtId="2" fontId="0" fillId="2" borderId="32" xfId="0" applyNumberFormat="1" applyFont="1" applyFill="1" applyBorder="1" applyAlignment="1">
      <alignment horizontal="center"/>
    </xf>
    <xf numFmtId="2" fontId="0" fillId="2" borderId="6" xfId="0" applyNumberFormat="1" applyFont="1" applyFill="1" applyBorder="1" applyAlignment="1">
      <alignment horizontal="center"/>
    </xf>
    <xf numFmtId="164" fontId="0" fillId="2" borderId="6" xfId="0" applyNumberFormat="1" applyFont="1" applyFill="1" applyBorder="1" applyAlignment="1">
      <alignment horizontal="center"/>
    </xf>
    <xf numFmtId="164" fontId="0" fillId="0" borderId="30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2" borderId="16" xfId="0" applyFill="1" applyBorder="1" applyAlignment="1">
      <alignment horizontal="center"/>
    </xf>
    <xf numFmtId="2" fontId="0" fillId="2" borderId="1" xfId="0" applyNumberFormat="1" applyFill="1" applyBorder="1"/>
    <xf numFmtId="0" fontId="8" fillId="2" borderId="30" xfId="0" applyFont="1" applyFill="1" applyBorder="1"/>
    <xf numFmtId="0" fontId="0" fillId="2" borderId="45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14" fillId="2" borderId="17" xfId="0" applyFont="1" applyFill="1" applyBorder="1"/>
    <xf numFmtId="164" fontId="8" fillId="2" borderId="1" xfId="0" applyNumberFormat="1" applyFont="1" applyFill="1" applyBorder="1"/>
    <xf numFmtId="0" fontId="23" fillId="0" borderId="0" xfId="0" applyFont="1"/>
    <xf numFmtId="2" fontId="0" fillId="2" borderId="30" xfId="0" applyNumberFormat="1" applyFill="1" applyBorder="1" applyAlignment="1">
      <alignment horizontal="center"/>
    </xf>
    <xf numFmtId="2" fontId="0" fillId="2" borderId="16" xfId="0" applyNumberFormat="1" applyFill="1" applyBorder="1" applyAlignment="1">
      <alignment horizontal="center"/>
    </xf>
    <xf numFmtId="0" fontId="1" fillId="2" borderId="33" xfId="0" applyFont="1" applyFill="1" applyBorder="1"/>
    <xf numFmtId="2" fontId="1" fillId="2" borderId="10" xfId="0" applyNumberFormat="1" applyFont="1" applyFill="1" applyBorder="1" applyAlignment="1">
      <alignment horizontal="center"/>
    </xf>
    <xf numFmtId="0" fontId="0" fillId="2" borderId="31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2" fontId="0" fillId="2" borderId="36" xfId="0" applyNumberForma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165" fontId="0" fillId="2" borderId="0" xfId="0" applyNumberFormat="1" applyFont="1" applyFill="1" applyBorder="1" applyAlignment="1">
      <alignment horizontal="center" vertical="center"/>
    </xf>
    <xf numFmtId="2" fontId="0" fillId="2" borderId="0" xfId="0" applyNumberFormat="1" applyFont="1" applyFill="1" applyBorder="1" applyAlignment="1">
      <alignment horizontal="center" vertical="center"/>
    </xf>
    <xf numFmtId="0" fontId="0" fillId="2" borderId="0" xfId="0" applyNumberFormat="1" applyFill="1" applyAlignment="1">
      <alignment horizontal="center" vertical="center"/>
    </xf>
    <xf numFmtId="2" fontId="0" fillId="2" borderId="55" xfId="0" applyNumberFormat="1" applyFill="1" applyBorder="1" applyAlignment="1">
      <alignment horizontal="center" vertical="center"/>
    </xf>
    <xf numFmtId="0" fontId="0" fillId="2" borderId="2" xfId="0" applyFont="1" applyFill="1" applyBorder="1" applyAlignment="1"/>
    <xf numFmtId="2" fontId="0" fillId="2" borderId="3" xfId="0" applyNumberFormat="1" applyFont="1" applyFill="1" applyBorder="1" applyAlignment="1">
      <alignment horizontal="center"/>
    </xf>
    <xf numFmtId="0" fontId="0" fillId="2" borderId="4" xfId="0" applyFont="1" applyFill="1" applyBorder="1"/>
    <xf numFmtId="0" fontId="1" fillId="2" borderId="34" xfId="0" applyFont="1" applyFill="1" applyBorder="1" applyAlignment="1"/>
    <xf numFmtId="2" fontId="1" fillId="2" borderId="35" xfId="0" applyNumberFormat="1" applyFont="1" applyFill="1" applyBorder="1" applyAlignment="1">
      <alignment horizontal="center"/>
    </xf>
    <xf numFmtId="0" fontId="14" fillId="2" borderId="0" xfId="0" applyFont="1" applyFill="1" applyBorder="1"/>
    <xf numFmtId="2" fontId="8" fillId="2" borderId="46" xfId="0" applyNumberFormat="1" applyFont="1" applyFill="1" applyBorder="1" applyAlignment="1">
      <alignment horizontal="center"/>
    </xf>
    <xf numFmtId="0" fontId="0" fillId="2" borderId="9" xfId="0" applyFill="1" applyBorder="1" applyAlignment="1">
      <alignment horizontal="center" vertical="center"/>
    </xf>
    <xf numFmtId="2" fontId="0" fillId="2" borderId="39" xfId="0" applyNumberForma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2" fontId="8" fillId="2" borderId="1" xfId="0" applyNumberFormat="1" applyFont="1" applyFill="1" applyBorder="1" applyAlignment="1">
      <alignment horizontal="center"/>
    </xf>
    <xf numFmtId="0" fontId="14" fillId="2" borderId="9" xfId="0" applyFont="1" applyFill="1" applyBorder="1" applyAlignment="1">
      <alignment vertical="center"/>
    </xf>
    <xf numFmtId="0" fontId="0" fillId="2" borderId="6" xfId="0" applyFill="1" applyBorder="1" applyAlignment="1">
      <alignment horizontal="center"/>
    </xf>
    <xf numFmtId="0" fontId="14" fillId="2" borderId="2" xfId="0" applyFont="1" applyFill="1" applyBorder="1"/>
    <xf numFmtId="168" fontId="0" fillId="0" borderId="12" xfId="0" applyNumberFormat="1" applyBorder="1" applyAlignment="1">
      <alignment horizontal="center" wrapText="1"/>
    </xf>
    <xf numFmtId="0" fontId="8" fillId="2" borderId="3" xfId="0" applyFont="1" applyFill="1" applyBorder="1" applyAlignment="1">
      <alignment horizontal="center"/>
    </xf>
    <xf numFmtId="164" fontId="8" fillId="2" borderId="10" xfId="0" applyNumberFormat="1" applyFont="1" applyFill="1" applyBorder="1" applyAlignment="1">
      <alignment horizontal="center"/>
    </xf>
    <xf numFmtId="0" fontId="0" fillId="0" borderId="63" xfId="0" applyBorder="1" applyAlignment="1">
      <alignment horizontal="center" wrapText="1"/>
    </xf>
    <xf numFmtId="168" fontId="0" fillId="0" borderId="64" xfId="0" applyNumberFormat="1" applyBorder="1" applyAlignment="1">
      <alignment horizontal="center" wrapText="1"/>
    </xf>
    <xf numFmtId="164" fontId="0" fillId="0" borderId="64" xfId="0" applyNumberFormat="1" applyBorder="1" applyAlignment="1">
      <alignment horizontal="center" wrapText="1"/>
    </xf>
    <xf numFmtId="11" fontId="0" fillId="0" borderId="64" xfId="0" applyNumberFormat="1" applyBorder="1" applyAlignment="1">
      <alignment horizontal="center" wrapText="1"/>
    </xf>
    <xf numFmtId="167" fontId="0" fillId="0" borderId="64" xfId="0" applyNumberFormat="1" applyBorder="1" applyAlignment="1">
      <alignment horizontal="center" wrapText="1"/>
    </xf>
    <xf numFmtId="166" fontId="0" fillId="0" borderId="64" xfId="0" applyNumberFormat="1" applyBorder="1" applyAlignment="1">
      <alignment horizontal="center" wrapText="1"/>
    </xf>
    <xf numFmtId="2" fontId="0" fillId="0" borderId="65" xfId="0" applyNumberFormat="1" applyBorder="1" applyAlignment="1">
      <alignment horizontal="center" wrapText="1"/>
    </xf>
    <xf numFmtId="0" fontId="0" fillId="0" borderId="66" xfId="0" applyBorder="1" applyAlignment="1">
      <alignment horizontal="center" wrapText="1"/>
    </xf>
    <xf numFmtId="2" fontId="0" fillId="0" borderId="67" xfId="0" applyNumberFormat="1" applyBorder="1" applyAlignment="1">
      <alignment horizontal="center" wrapText="1"/>
    </xf>
    <xf numFmtId="0" fontId="0" fillId="0" borderId="68" xfId="0" applyBorder="1" applyAlignment="1">
      <alignment horizontal="center" wrapText="1"/>
    </xf>
    <xf numFmtId="168" fontId="0" fillId="0" borderId="69" xfId="0" applyNumberFormat="1" applyBorder="1" applyAlignment="1">
      <alignment horizontal="center" wrapText="1"/>
    </xf>
    <xf numFmtId="164" fontId="0" fillId="0" borderId="69" xfId="0" applyNumberFormat="1" applyBorder="1" applyAlignment="1">
      <alignment horizontal="center" wrapText="1"/>
    </xf>
    <xf numFmtId="11" fontId="0" fillId="0" borderId="69" xfId="0" applyNumberFormat="1" applyBorder="1" applyAlignment="1">
      <alignment horizontal="center" wrapText="1"/>
    </xf>
    <xf numFmtId="167" fontId="0" fillId="0" borderId="69" xfId="0" applyNumberFormat="1" applyBorder="1" applyAlignment="1">
      <alignment horizontal="center" wrapText="1"/>
    </xf>
    <xf numFmtId="166" fontId="0" fillId="0" borderId="69" xfId="0" applyNumberFormat="1" applyBorder="1" applyAlignment="1">
      <alignment horizontal="center" wrapText="1"/>
    </xf>
    <xf numFmtId="2" fontId="0" fillId="0" borderId="70" xfId="0" applyNumberFormat="1" applyBorder="1" applyAlignment="1">
      <alignment horizontal="center" wrapText="1"/>
    </xf>
    <xf numFmtId="0" fontId="1" fillId="6" borderId="60" xfId="0" applyFont="1" applyFill="1" applyBorder="1" applyAlignment="1">
      <alignment horizontal="center" vertical="center" wrapText="1"/>
    </xf>
    <xf numFmtId="0" fontId="1" fillId="6" borderId="61" xfId="0" applyFont="1" applyFill="1" applyBorder="1" applyAlignment="1">
      <alignment horizontal="center" vertical="center" wrapText="1"/>
    </xf>
    <xf numFmtId="0" fontId="1" fillId="6" borderId="62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1" fillId="9" borderId="34" xfId="0" applyFont="1" applyFill="1" applyBorder="1" applyAlignment="1">
      <alignment horizontal="center" wrapText="1"/>
    </xf>
    <xf numFmtId="0" fontId="1" fillId="9" borderId="35" xfId="0" applyFont="1" applyFill="1" applyBorder="1" applyAlignment="1">
      <alignment horizontal="center" wrapText="1"/>
    </xf>
    <xf numFmtId="0" fontId="7" fillId="9" borderId="33" xfId="0" applyFont="1" applyFill="1" applyBorder="1" applyAlignment="1">
      <alignment horizontal="center" wrapText="1"/>
    </xf>
    <xf numFmtId="0" fontId="1" fillId="9" borderId="33" xfId="0" applyFont="1" applyFill="1" applyBorder="1" applyAlignment="1">
      <alignment horizontal="center" wrapText="1"/>
    </xf>
    <xf numFmtId="0" fontId="0" fillId="0" borderId="2" xfId="0" applyBorder="1" applyAlignment="1">
      <alignment horizontal="center" vertical="center"/>
    </xf>
    <xf numFmtId="12" fontId="0" fillId="0" borderId="4" xfId="0" applyNumberForma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12" fontId="0" fillId="0" borderId="6" xfId="0" applyNumberForma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11" fontId="0" fillId="2" borderId="6" xfId="0" applyNumberFormat="1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7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14" fillId="6" borderId="59" xfId="0" applyFont="1" applyFill="1" applyBorder="1" applyAlignment="1">
      <alignment horizontal="center"/>
    </xf>
    <xf numFmtId="2" fontId="0" fillId="2" borderId="37" xfId="0" applyNumberFormat="1" applyFill="1" applyBorder="1" applyAlignment="1">
      <alignment horizontal="center"/>
    </xf>
    <xf numFmtId="11" fontId="0" fillId="2" borderId="16" xfId="0" applyNumberFormat="1" applyFill="1" applyBorder="1" applyAlignment="1">
      <alignment horizontal="center"/>
    </xf>
    <xf numFmtId="2" fontId="0" fillId="2" borderId="18" xfId="0" applyNumberFormat="1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2" fontId="0" fillId="2" borderId="3" xfId="0" applyNumberFormat="1" applyFont="1" applyFill="1" applyBorder="1" applyAlignment="1">
      <alignment vertical="center"/>
    </xf>
    <xf numFmtId="0" fontId="0" fillId="2" borderId="4" xfId="0" applyFont="1" applyFill="1" applyBorder="1" applyAlignment="1">
      <alignment horizontal="center" vertical="center"/>
    </xf>
    <xf numFmtId="2" fontId="0" fillId="2" borderId="1" xfId="0" applyNumberFormat="1" applyFont="1" applyFill="1" applyBorder="1" applyAlignment="1">
      <alignment horizontal="center"/>
    </xf>
    <xf numFmtId="2" fontId="0" fillId="2" borderId="5" xfId="0" applyNumberFormat="1" applyFont="1" applyFill="1" applyBorder="1" applyAlignment="1">
      <alignment horizontal="center"/>
    </xf>
    <xf numFmtId="2" fontId="0" fillId="2" borderId="9" xfId="0" applyNumberFormat="1" applyFont="1" applyFill="1" applyBorder="1" applyAlignment="1">
      <alignment horizontal="center"/>
    </xf>
    <xf numFmtId="2" fontId="0" fillId="2" borderId="11" xfId="0" applyNumberFormat="1" applyFont="1" applyFill="1" applyBorder="1" applyAlignment="1">
      <alignment horizontal="center"/>
    </xf>
    <xf numFmtId="2" fontId="0" fillId="2" borderId="31" xfId="0" applyNumberFormat="1" applyFont="1" applyFill="1" applyBorder="1" applyAlignment="1">
      <alignment horizontal="center"/>
    </xf>
    <xf numFmtId="2" fontId="0" fillId="2" borderId="20" xfId="0" applyNumberFormat="1" applyFill="1" applyBorder="1" applyAlignment="1">
      <alignment horizontal="center"/>
    </xf>
    <xf numFmtId="2" fontId="1" fillId="2" borderId="20" xfId="0" applyNumberFormat="1" applyFont="1" applyFill="1" applyBorder="1" applyAlignment="1">
      <alignment horizontal="center"/>
    </xf>
    <xf numFmtId="1" fontId="0" fillId="2" borderId="20" xfId="0" applyNumberFormat="1" applyFill="1" applyBorder="1" applyAlignment="1">
      <alignment horizontal="center"/>
    </xf>
    <xf numFmtId="166" fontId="2" fillId="2" borderId="20" xfId="0" applyNumberFormat="1" applyFont="1" applyFill="1" applyBorder="1" applyAlignment="1">
      <alignment horizontal="center"/>
    </xf>
    <xf numFmtId="165" fontId="8" fillId="2" borderId="20" xfId="0" applyNumberFormat="1" applyFont="1" applyFill="1" applyBorder="1" applyAlignment="1">
      <alignment horizontal="center" vertical="center"/>
    </xf>
    <xf numFmtId="2" fontId="16" fillId="2" borderId="20" xfId="0" applyNumberFormat="1" applyFont="1" applyFill="1" applyBorder="1" applyAlignment="1">
      <alignment horizontal="center"/>
    </xf>
    <xf numFmtId="2" fontId="16" fillId="2" borderId="13" xfId="0" applyNumberFormat="1" applyFont="1" applyFill="1" applyBorder="1" applyAlignment="1">
      <alignment horizontal="center"/>
    </xf>
    <xf numFmtId="2" fontId="0" fillId="2" borderId="40" xfId="0" applyNumberFormat="1" applyFont="1" applyFill="1" applyBorder="1" applyAlignment="1">
      <alignment horizontal="center"/>
    </xf>
    <xf numFmtId="165" fontId="0" fillId="2" borderId="31" xfId="0" applyNumberFormat="1" applyFont="1" applyFill="1" applyBorder="1" applyAlignment="1">
      <alignment horizontal="center" vertical="center"/>
    </xf>
    <xf numFmtId="2" fontId="0" fillId="2" borderId="30" xfId="0" applyNumberFormat="1" applyFont="1" applyFill="1" applyBorder="1" applyAlignment="1">
      <alignment horizontal="center" vertical="center"/>
    </xf>
    <xf numFmtId="1" fontId="0" fillId="2" borderId="30" xfId="0" applyNumberFormat="1" applyFont="1" applyFill="1" applyBorder="1" applyAlignment="1">
      <alignment horizontal="center" vertical="center"/>
    </xf>
    <xf numFmtId="166" fontId="0" fillId="2" borderId="30" xfId="0" applyNumberFormat="1" applyFont="1" applyFill="1" applyBorder="1" applyAlignment="1">
      <alignment horizontal="center" vertical="center"/>
    </xf>
    <xf numFmtId="2" fontId="0" fillId="2" borderId="32" xfId="0" applyNumberFormat="1" applyFont="1" applyFill="1" applyBorder="1" applyAlignment="1">
      <alignment horizontal="center" vertical="center"/>
    </xf>
    <xf numFmtId="165" fontId="0" fillId="2" borderId="2" xfId="0" applyNumberFormat="1" applyFont="1" applyFill="1" applyBorder="1" applyAlignment="1">
      <alignment horizontal="center" vertical="center"/>
    </xf>
    <xf numFmtId="2" fontId="0" fillId="2" borderId="3" xfId="0" applyNumberFormat="1" applyFont="1" applyFill="1" applyBorder="1" applyAlignment="1">
      <alignment horizontal="center" vertical="center"/>
    </xf>
    <xf numFmtId="1" fontId="0" fillId="2" borderId="3" xfId="0" applyNumberFormat="1" applyFont="1" applyFill="1" applyBorder="1" applyAlignment="1">
      <alignment horizontal="center" vertical="center"/>
    </xf>
    <xf numFmtId="2" fontId="0" fillId="2" borderId="4" xfId="0" applyNumberFormat="1" applyFont="1" applyFill="1" applyBorder="1" applyAlignment="1">
      <alignment horizontal="center" vertical="center"/>
    </xf>
    <xf numFmtId="165" fontId="0" fillId="2" borderId="5" xfId="0" applyNumberFormat="1" applyFont="1" applyFill="1" applyBorder="1" applyAlignment="1">
      <alignment horizontal="center"/>
    </xf>
    <xf numFmtId="1" fontId="0" fillId="2" borderId="1" xfId="0" applyNumberFormat="1" applyFont="1" applyFill="1" applyBorder="1" applyAlignment="1">
      <alignment horizontal="center"/>
    </xf>
    <xf numFmtId="166" fontId="0" fillId="2" borderId="1" xfId="0" applyNumberFormat="1" applyFont="1" applyFill="1" applyBorder="1" applyAlignment="1">
      <alignment horizontal="center"/>
    </xf>
    <xf numFmtId="2" fontId="0" fillId="2" borderId="41" xfId="0" applyNumberFormat="1" applyFont="1" applyFill="1" applyBorder="1" applyAlignment="1">
      <alignment horizontal="center"/>
    </xf>
    <xf numFmtId="165" fontId="0" fillId="2" borderId="9" xfId="0" applyNumberFormat="1" applyFont="1" applyFill="1" applyBorder="1" applyAlignment="1">
      <alignment horizontal="center"/>
    </xf>
    <xf numFmtId="2" fontId="0" fillId="2" borderId="10" xfId="0" applyNumberFormat="1" applyFont="1" applyFill="1" applyBorder="1" applyAlignment="1">
      <alignment horizontal="center"/>
    </xf>
    <xf numFmtId="1" fontId="0" fillId="2" borderId="10" xfId="0" applyNumberFormat="1" applyFont="1" applyFill="1" applyBorder="1" applyAlignment="1">
      <alignment horizontal="center"/>
    </xf>
    <xf numFmtId="166" fontId="0" fillId="2" borderId="10" xfId="0" applyNumberFormat="1" applyFont="1" applyFill="1" applyBorder="1" applyAlignment="1">
      <alignment horizontal="center"/>
    </xf>
    <xf numFmtId="0" fontId="1" fillId="6" borderId="31" xfId="0" applyFont="1" applyFill="1" applyBorder="1" applyAlignment="1">
      <alignment horizontal="center" vertical="center" wrapText="1"/>
    </xf>
    <xf numFmtId="0" fontId="1" fillId="6" borderId="30" xfId="0" applyFont="1" applyFill="1" applyBorder="1" applyAlignment="1">
      <alignment horizontal="center" vertical="center" wrapText="1"/>
    </xf>
    <xf numFmtId="0" fontId="1" fillId="6" borderId="32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6" borderId="11" xfId="0" applyFont="1" applyFill="1" applyBorder="1" applyAlignment="1">
      <alignment horizontal="center" vertical="center" wrapText="1"/>
    </xf>
    <xf numFmtId="0" fontId="1" fillId="6" borderId="41" xfId="0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vertical="center" wrapText="1"/>
    </xf>
    <xf numFmtId="0" fontId="10" fillId="6" borderId="4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wrapText="1"/>
    </xf>
    <xf numFmtId="0" fontId="1" fillId="6" borderId="11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/>
    </xf>
    <xf numFmtId="164" fontId="0" fillId="2" borderId="4" xfId="0" applyNumberFormat="1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/>
    </xf>
    <xf numFmtId="0" fontId="0" fillId="2" borderId="32" xfId="0" applyFill="1" applyBorder="1" applyAlignment="1">
      <alignment horizontal="center"/>
    </xf>
    <xf numFmtId="0" fontId="1" fillId="6" borderId="9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horizontal="center" vertical="center"/>
    </xf>
    <xf numFmtId="0" fontId="1" fillId="6" borderId="11" xfId="0" applyFont="1" applyFill="1" applyBorder="1" applyAlignment="1">
      <alignment horizontal="center" vertical="center"/>
    </xf>
    <xf numFmtId="0" fontId="14" fillId="6" borderId="27" xfId="0" applyFont="1" applyFill="1" applyBorder="1" applyAlignment="1">
      <alignment horizontal="center"/>
    </xf>
    <xf numFmtId="0" fontId="14" fillId="6" borderId="26" xfId="0" applyFont="1" applyFill="1" applyBorder="1" applyAlignment="1">
      <alignment horizontal="center"/>
    </xf>
    <xf numFmtId="0" fontId="14" fillId="6" borderId="28" xfId="0" applyFont="1" applyFill="1" applyBorder="1" applyAlignment="1">
      <alignment horizontal="center"/>
    </xf>
    <xf numFmtId="0" fontId="14" fillId="6" borderId="53" xfId="0" applyFont="1" applyFill="1" applyBorder="1" applyAlignment="1">
      <alignment horizontal="center"/>
    </xf>
    <xf numFmtId="0" fontId="15" fillId="7" borderId="28" xfId="0" applyFont="1" applyFill="1" applyBorder="1" applyAlignment="1">
      <alignment horizontal="center"/>
    </xf>
    <xf numFmtId="0" fontId="14" fillId="6" borderId="57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9" fillId="2" borderId="0" xfId="0" applyFont="1" applyFill="1" applyBorder="1" applyAlignment="1"/>
    <xf numFmtId="1" fontId="2" fillId="5" borderId="73" xfId="0" applyNumberFormat="1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vertical="center"/>
    </xf>
    <xf numFmtId="0" fontId="1" fillId="3" borderId="4" xfId="0" applyFont="1" applyFill="1" applyBorder="1" applyAlignment="1">
      <alignment vertical="center"/>
    </xf>
    <xf numFmtId="2" fontId="0" fillId="2" borderId="6" xfId="0" applyNumberFormat="1" applyFill="1" applyBorder="1" applyAlignment="1">
      <alignment horizontal="center" vertical="center"/>
    </xf>
    <xf numFmtId="2" fontId="0" fillId="2" borderId="10" xfId="0" applyNumberFormat="1" applyFill="1" applyBorder="1" applyAlignment="1">
      <alignment horizontal="center" vertical="center"/>
    </xf>
    <xf numFmtId="2" fontId="0" fillId="2" borderId="11" xfId="0" applyNumberFormat="1" applyFill="1" applyBorder="1" applyAlignment="1">
      <alignment horizontal="center" vertical="center"/>
    </xf>
    <xf numFmtId="2" fontId="0" fillId="2" borderId="30" xfId="0" applyNumberFormat="1" applyFill="1" applyBorder="1" applyAlignment="1">
      <alignment horizontal="center" vertical="center"/>
    </xf>
    <xf numFmtId="2" fontId="0" fillId="2" borderId="32" xfId="0" applyNumberForma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0" fillId="2" borderId="45" xfId="0" applyFill="1" applyBorder="1"/>
    <xf numFmtId="0" fontId="0" fillId="2" borderId="74" xfId="0" applyFill="1" applyBorder="1"/>
    <xf numFmtId="0" fontId="0" fillId="2" borderId="75" xfId="0" applyFill="1" applyBorder="1"/>
    <xf numFmtId="0" fontId="0" fillId="2" borderId="76" xfId="0" applyFill="1" applyBorder="1"/>
    <xf numFmtId="0" fontId="0" fillId="2" borderId="77" xfId="0" applyFill="1" applyBorder="1"/>
    <xf numFmtId="0" fontId="0" fillId="2" borderId="78" xfId="0" applyFill="1" applyBorder="1"/>
    <xf numFmtId="0" fontId="0" fillId="2" borderId="79" xfId="0" applyFill="1" applyBorder="1"/>
    <xf numFmtId="0" fontId="0" fillId="2" borderId="80" xfId="0" applyFill="1" applyBorder="1"/>
    <xf numFmtId="0" fontId="0" fillId="2" borderId="81" xfId="0" applyFill="1" applyBorder="1"/>
    <xf numFmtId="164" fontId="0" fillId="2" borderId="11" xfId="0" applyNumberFormat="1" applyFont="1" applyFill="1" applyBorder="1" applyAlignment="1">
      <alignment horizontal="center"/>
    </xf>
    <xf numFmtId="0" fontId="0" fillId="2" borderId="77" xfId="0" applyFont="1" applyFill="1" applyBorder="1"/>
    <xf numFmtId="0" fontId="0" fillId="2" borderId="78" xfId="0" applyFont="1" applyFill="1" applyBorder="1"/>
    <xf numFmtId="0" fontId="1" fillId="2" borderId="78" xfId="0" applyFont="1" applyFill="1" applyBorder="1"/>
    <xf numFmtId="0" fontId="0" fillId="2" borderId="79" xfId="0" applyFont="1" applyFill="1" applyBorder="1"/>
    <xf numFmtId="0" fontId="0" fillId="2" borderId="80" xfId="0" applyFont="1" applyFill="1" applyBorder="1" applyAlignment="1">
      <alignment horizontal="center"/>
    </xf>
    <xf numFmtId="0" fontId="0" fillId="2" borderId="80" xfId="0" applyFont="1" applyFill="1" applyBorder="1"/>
    <xf numFmtId="0" fontId="0" fillId="2" borderId="81" xfId="0" applyFont="1" applyFill="1" applyBorder="1"/>
    <xf numFmtId="0" fontId="23" fillId="0" borderId="0" xfId="0" applyFont="1" applyAlignment="1">
      <alignment horizontal="left" vertical="center"/>
    </xf>
    <xf numFmtId="0" fontId="19" fillId="2" borderId="75" xfId="0" applyFont="1" applyFill="1" applyBorder="1" applyAlignment="1"/>
    <xf numFmtId="0" fontId="19" fillId="2" borderId="76" xfId="0" applyFont="1" applyFill="1" applyBorder="1" applyAlignment="1"/>
    <xf numFmtId="0" fontId="19" fillId="2" borderId="77" xfId="0" applyFont="1" applyFill="1" applyBorder="1" applyAlignment="1">
      <alignment horizontal="center" wrapText="1"/>
    </xf>
    <xf numFmtId="0" fontId="19" fillId="2" borderId="78" xfId="0" applyFont="1" applyFill="1" applyBorder="1" applyAlignment="1">
      <alignment horizontal="center" wrapText="1"/>
    </xf>
    <xf numFmtId="0" fontId="0" fillId="2" borderId="43" xfId="0" applyFill="1" applyBorder="1" applyAlignment="1">
      <alignment horizontal="center"/>
    </xf>
    <xf numFmtId="0" fontId="0" fillId="2" borderId="6" xfId="0" applyFont="1" applyFill="1" applyBorder="1"/>
    <xf numFmtId="2" fontId="8" fillId="2" borderId="10" xfId="0" applyNumberFormat="1" applyFont="1" applyFill="1" applyBorder="1" applyAlignment="1">
      <alignment horizontal="center"/>
    </xf>
    <xf numFmtId="0" fontId="14" fillId="2" borderId="82" xfId="0" applyFont="1" applyFill="1" applyBorder="1"/>
    <xf numFmtId="2" fontId="8" fillId="2" borderId="30" xfId="0" applyNumberFormat="1" applyFont="1" applyFill="1" applyBorder="1" applyAlignment="1">
      <alignment horizontal="center"/>
    </xf>
    <xf numFmtId="0" fontId="0" fillId="2" borderId="44" xfId="0" applyFill="1" applyBorder="1"/>
    <xf numFmtId="0" fontId="0" fillId="2" borderId="32" xfId="0" applyFill="1" applyBorder="1"/>
    <xf numFmtId="0" fontId="29" fillId="2" borderId="2" xfId="0" applyFont="1" applyFill="1" applyBorder="1" applyAlignment="1">
      <alignment horizontal="center"/>
    </xf>
    <xf numFmtId="0" fontId="29" fillId="2" borderId="5" xfId="0" applyFont="1" applyFill="1" applyBorder="1" applyAlignment="1">
      <alignment horizontal="center"/>
    </xf>
    <xf numFmtId="0" fontId="29" fillId="2" borderId="9" xfId="0" applyFont="1" applyFill="1" applyBorder="1" applyAlignment="1">
      <alignment horizontal="center"/>
    </xf>
    <xf numFmtId="0" fontId="0" fillId="2" borderId="19" xfId="0" applyFill="1" applyBorder="1" applyAlignment="1">
      <alignment horizontal="left"/>
    </xf>
    <xf numFmtId="0" fontId="0" fillId="2" borderId="43" xfId="0" applyFill="1" applyBorder="1" applyAlignment="1">
      <alignment horizontal="left"/>
    </xf>
    <xf numFmtId="169" fontId="0" fillId="2" borderId="1" xfId="0" applyNumberFormat="1" applyFill="1" applyBorder="1"/>
    <xf numFmtId="169" fontId="0" fillId="2" borderId="1" xfId="2" applyNumberFormat="1" applyFont="1" applyFill="1" applyBorder="1"/>
    <xf numFmtId="0" fontId="0" fillId="2" borderId="31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12" fontId="0" fillId="0" borderId="2" xfId="0" applyNumberFormat="1" applyFill="1" applyBorder="1" applyAlignment="1">
      <alignment horizontal="center" vertical="center" wrapText="1"/>
    </xf>
    <xf numFmtId="12" fontId="0" fillId="0" borderId="5" xfId="0" applyNumberFormat="1" applyFill="1" applyBorder="1" applyAlignment="1">
      <alignment horizontal="center" vertical="center" wrapText="1"/>
    </xf>
    <xf numFmtId="12" fontId="0" fillId="0" borderId="9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169" fontId="0" fillId="0" borderId="3" xfId="2" applyNumberFormat="1" applyFont="1" applyBorder="1" applyAlignment="1">
      <alignment horizontal="center" vertical="center"/>
    </xf>
    <xf numFmtId="169" fontId="0" fillId="0" borderId="1" xfId="2" applyNumberFormat="1" applyFont="1" applyBorder="1" applyAlignment="1">
      <alignment horizontal="center" vertical="center"/>
    </xf>
    <xf numFmtId="169" fontId="0" fillId="0" borderId="10" xfId="2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9" fontId="0" fillId="0" borderId="4" xfId="2" applyNumberFormat="1" applyFont="1" applyBorder="1" applyAlignment="1">
      <alignment horizontal="center" vertical="center"/>
    </xf>
    <xf numFmtId="169" fontId="0" fillId="0" borderId="6" xfId="2" applyNumberFormat="1" applyFont="1" applyBorder="1" applyAlignment="1">
      <alignment horizontal="center" vertical="center"/>
    </xf>
    <xf numFmtId="169" fontId="0" fillId="0" borderId="11" xfId="2" applyNumberFormat="1" applyFont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 wrapText="1"/>
    </xf>
    <xf numFmtId="169" fontId="0" fillId="0" borderId="0" xfId="2" applyNumberFormat="1" applyFont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169" fontId="0" fillId="0" borderId="30" xfId="2" applyNumberFormat="1" applyFont="1" applyBorder="1" applyAlignment="1">
      <alignment horizontal="center" vertical="center"/>
    </xf>
    <xf numFmtId="0" fontId="1" fillId="9" borderId="2" xfId="0" applyFont="1" applyFill="1" applyBorder="1" applyAlignment="1">
      <alignment horizontal="center" vertical="center"/>
    </xf>
    <xf numFmtId="0" fontId="1" fillId="9" borderId="3" xfId="0" applyFont="1" applyFill="1" applyBorder="1" applyAlignment="1">
      <alignment horizontal="center" vertical="center" wrapText="1"/>
    </xf>
    <xf numFmtId="0" fontId="1" fillId="9" borderId="4" xfId="0" applyFont="1" applyFill="1" applyBorder="1" applyAlignment="1">
      <alignment horizontal="center" vertical="center" wrapText="1"/>
    </xf>
    <xf numFmtId="0" fontId="1" fillId="9" borderId="9" xfId="0" applyFont="1" applyFill="1" applyBorder="1" applyAlignment="1">
      <alignment horizontal="center" vertical="center"/>
    </xf>
    <xf numFmtId="0" fontId="1" fillId="9" borderId="10" xfId="0" applyFont="1" applyFill="1" applyBorder="1" applyAlignment="1">
      <alignment horizontal="center" vertical="center" wrapText="1"/>
    </xf>
    <xf numFmtId="0" fontId="1" fillId="9" borderId="11" xfId="0" applyFont="1" applyFill="1" applyBorder="1" applyAlignment="1">
      <alignment horizontal="center" vertical="center" wrapText="1"/>
    </xf>
    <xf numFmtId="0" fontId="1" fillId="9" borderId="5" xfId="0" applyFont="1" applyFill="1" applyBorder="1" applyAlignment="1">
      <alignment horizontal="center" vertical="center"/>
    </xf>
    <xf numFmtId="0" fontId="1" fillId="9" borderId="6" xfId="0" applyFont="1" applyFill="1" applyBorder="1" applyAlignment="1">
      <alignment horizontal="center" vertical="center" wrapText="1"/>
    </xf>
    <xf numFmtId="169" fontId="0" fillId="0" borderId="32" xfId="2" applyNumberFormat="1" applyFont="1" applyBorder="1" applyAlignment="1">
      <alignment horizontal="center" vertical="center"/>
    </xf>
    <xf numFmtId="0" fontId="1" fillId="9" borderId="83" xfId="0" applyFont="1" applyFill="1" applyBorder="1" applyAlignment="1">
      <alignment horizontal="center" vertical="center"/>
    </xf>
    <xf numFmtId="0" fontId="1" fillId="9" borderId="29" xfId="0" applyFont="1" applyFill="1" applyBorder="1" applyAlignment="1">
      <alignment horizontal="center" vertical="center" wrapText="1"/>
    </xf>
    <xf numFmtId="0" fontId="1" fillId="9" borderId="84" xfId="0" applyFont="1" applyFill="1" applyBorder="1" applyAlignment="1">
      <alignment horizontal="center" vertical="center" wrapText="1"/>
    </xf>
    <xf numFmtId="0" fontId="0" fillId="2" borderId="83" xfId="0" applyFill="1" applyBorder="1" applyAlignment="1">
      <alignment horizontal="center" vertical="center"/>
    </xf>
    <xf numFmtId="169" fontId="0" fillId="0" borderId="29" xfId="2" applyNumberFormat="1" applyFont="1" applyBorder="1" applyAlignment="1">
      <alignment horizontal="center" vertical="center"/>
    </xf>
    <xf numFmtId="169" fontId="0" fillId="0" borderId="84" xfId="2" applyNumberFormat="1" applyFont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2" fontId="8" fillId="2" borderId="3" xfId="0" applyNumberFormat="1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1" fillId="4" borderId="22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1" fillId="3" borderId="41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12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0" fontId="0" fillId="2" borderId="87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14" fillId="2" borderId="83" xfId="0" applyFont="1" applyFill="1" applyBorder="1"/>
    <xf numFmtId="0" fontId="14" fillId="2" borderId="31" xfId="0" applyFont="1" applyFill="1" applyBorder="1"/>
    <xf numFmtId="0" fontId="0" fillId="2" borderId="5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0" fillId="10" borderId="52" xfId="0" applyFill="1" applyBorder="1" applyAlignment="1">
      <alignment horizontal="center" vertical="center"/>
    </xf>
    <xf numFmtId="169" fontId="0" fillId="2" borderId="4" xfId="2" applyNumberFormat="1" applyFont="1" applyFill="1" applyBorder="1" applyAlignment="1">
      <alignment horizontal="center" vertical="center"/>
    </xf>
    <xf numFmtId="169" fontId="0" fillId="2" borderId="6" xfId="2" applyNumberFormat="1" applyFont="1" applyFill="1" applyBorder="1" applyAlignment="1">
      <alignment horizontal="center" vertical="center"/>
    </xf>
    <xf numFmtId="44" fontId="0" fillId="2" borderId="6" xfId="0" applyNumberFormat="1" applyFill="1" applyBorder="1" applyAlignment="1">
      <alignment horizontal="center" vertical="center"/>
    </xf>
    <xf numFmtId="44" fontId="1" fillId="2" borderId="11" xfId="2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0" fillId="2" borderId="77" xfId="0" applyFill="1" applyBorder="1" applyAlignment="1">
      <alignment horizontal="center" vertical="center"/>
    </xf>
    <xf numFmtId="0" fontId="0" fillId="2" borderId="78" xfId="0" applyFill="1" applyBorder="1" applyAlignment="1">
      <alignment horizontal="center" vertical="center"/>
    </xf>
    <xf numFmtId="0" fontId="0" fillId="2" borderId="79" xfId="0" applyFill="1" applyBorder="1" applyAlignment="1">
      <alignment horizontal="center" vertical="center"/>
    </xf>
    <xf numFmtId="0" fontId="0" fillId="2" borderId="80" xfId="0" applyFill="1" applyBorder="1" applyAlignment="1">
      <alignment horizontal="center" vertical="center"/>
    </xf>
    <xf numFmtId="0" fontId="0" fillId="2" borderId="81" xfId="0" applyFill="1" applyBorder="1" applyAlignment="1">
      <alignment horizontal="center" vertical="center"/>
    </xf>
    <xf numFmtId="2" fontId="0" fillId="2" borderId="3" xfId="0" applyNumberFormat="1" applyFill="1" applyBorder="1" applyAlignment="1">
      <alignment horizontal="center" vertical="center"/>
    </xf>
    <xf numFmtId="44" fontId="0" fillId="2" borderId="3" xfId="2" applyFont="1" applyFill="1" applyBorder="1" applyAlignment="1">
      <alignment horizontal="center" vertical="center"/>
    </xf>
    <xf numFmtId="169" fontId="0" fillId="2" borderId="1" xfId="2" applyNumberFormat="1" applyFont="1" applyFill="1" applyBorder="1" applyAlignment="1">
      <alignment horizontal="center" vertical="center"/>
    </xf>
    <xf numFmtId="44" fontId="0" fillId="2" borderId="1" xfId="2" applyFont="1" applyFill="1" applyBorder="1" applyAlignment="1">
      <alignment horizontal="center" vertical="center"/>
    </xf>
    <xf numFmtId="44" fontId="0" fillId="2" borderId="10" xfId="2" applyFont="1" applyFill="1" applyBorder="1" applyAlignment="1">
      <alignment horizontal="center" vertical="center"/>
    </xf>
    <xf numFmtId="0" fontId="14" fillId="2" borderId="84" xfId="0" applyFont="1" applyFill="1" applyBorder="1" applyAlignment="1">
      <alignment horizontal="center" vertical="center"/>
    </xf>
    <xf numFmtId="0" fontId="14" fillId="2" borderId="34" xfId="0" applyFont="1" applyFill="1" applyBorder="1" applyAlignment="1">
      <alignment horizontal="center" vertical="center"/>
    </xf>
    <xf numFmtId="0" fontId="14" fillId="2" borderId="35" xfId="0" applyFont="1" applyFill="1" applyBorder="1" applyAlignment="1">
      <alignment horizontal="center" vertical="center"/>
    </xf>
    <xf numFmtId="0" fontId="14" fillId="2" borderId="33" xfId="0" applyFont="1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12" fontId="0" fillId="2" borderId="2" xfId="0" applyNumberForma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/>
    </xf>
    <xf numFmtId="44" fontId="0" fillId="2" borderId="4" xfId="2" applyFont="1" applyFill="1" applyBorder="1" applyAlignment="1">
      <alignment horizontal="center" vertical="center"/>
    </xf>
    <xf numFmtId="44" fontId="0" fillId="2" borderId="6" xfId="2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44" fontId="0" fillId="2" borderId="11" xfId="2" applyFont="1" applyFill="1" applyBorder="1" applyAlignment="1">
      <alignment horizontal="center" vertical="center"/>
    </xf>
    <xf numFmtId="2" fontId="14" fillId="2" borderId="33" xfId="0" applyNumberFormat="1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72" xfId="0" applyFont="1" applyFill="1" applyBorder="1" applyAlignment="1">
      <alignment horizontal="center" vertical="center"/>
    </xf>
    <xf numFmtId="44" fontId="1" fillId="2" borderId="58" xfId="0" applyNumberFormat="1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0" fillId="2" borderId="77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169" fontId="0" fillId="2" borderId="10" xfId="2" applyNumberFormat="1" applyFont="1" applyFill="1" applyBorder="1" applyAlignment="1">
      <alignment horizontal="center" vertical="center"/>
    </xf>
    <xf numFmtId="169" fontId="0" fillId="2" borderId="11" xfId="2" applyNumberFormat="1" applyFont="1" applyFill="1" applyBorder="1" applyAlignment="1">
      <alignment horizontal="center" vertical="center"/>
    </xf>
    <xf numFmtId="0" fontId="14" fillId="2" borderId="32" xfId="0" applyFont="1" applyFill="1" applyBorder="1" applyAlignment="1">
      <alignment horizontal="center" vertical="center"/>
    </xf>
    <xf numFmtId="169" fontId="0" fillId="2" borderId="3" xfId="2" applyNumberFormat="1" applyFont="1" applyFill="1" applyBorder="1" applyAlignment="1">
      <alignment horizontal="center" vertical="center"/>
    </xf>
    <xf numFmtId="169" fontId="31" fillId="2" borderId="11" xfId="0" applyNumberFormat="1" applyFont="1" applyFill="1" applyBorder="1" applyAlignment="1">
      <alignment horizontal="center" vertical="center"/>
    </xf>
    <xf numFmtId="0" fontId="14" fillId="6" borderId="89" xfId="0" applyFont="1" applyFill="1" applyBorder="1" applyAlignment="1">
      <alignment horizontal="center"/>
    </xf>
    <xf numFmtId="0" fontId="14" fillId="6" borderId="90" xfId="0" applyFont="1" applyFill="1" applyBorder="1" applyAlignment="1">
      <alignment horizontal="center"/>
    </xf>
    <xf numFmtId="0" fontId="31" fillId="2" borderId="4" xfId="0" applyFont="1" applyFill="1" applyBorder="1" applyAlignment="1">
      <alignment horizontal="center" vertical="center"/>
    </xf>
    <xf numFmtId="0" fontId="31" fillId="2" borderId="6" xfId="0" applyFont="1" applyFill="1" applyBorder="1" applyAlignment="1">
      <alignment horizontal="center" vertical="center"/>
    </xf>
    <xf numFmtId="169" fontId="31" fillId="2" borderId="11" xfId="2" applyNumberFormat="1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1" fillId="9" borderId="6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left"/>
    </xf>
    <xf numFmtId="0" fontId="14" fillId="2" borderId="3" xfId="0" applyFont="1" applyFill="1" applyBorder="1" applyAlignment="1">
      <alignment horizontal="left"/>
    </xf>
    <xf numFmtId="0" fontId="14" fillId="2" borderId="38" xfId="0" applyFont="1" applyFill="1" applyBorder="1" applyAlignment="1">
      <alignment horizontal="left"/>
    </xf>
    <xf numFmtId="0" fontId="1" fillId="6" borderId="2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1" fillId="6" borderId="38" xfId="0" applyFont="1" applyFill="1" applyBorder="1" applyAlignment="1">
      <alignment horizontal="center" vertical="center"/>
    </xf>
    <xf numFmtId="0" fontId="1" fillId="6" borderId="9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horizontal="center" vertical="center"/>
    </xf>
    <xf numFmtId="0" fontId="1" fillId="6" borderId="39" xfId="0" applyFont="1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55" xfId="0" applyFill="1" applyBorder="1" applyAlignment="1">
      <alignment horizontal="center" vertical="center"/>
    </xf>
    <xf numFmtId="0" fontId="14" fillId="2" borderId="5" xfId="0" applyFont="1" applyFill="1" applyBorder="1" applyAlignment="1">
      <alignment horizontal="left"/>
    </xf>
    <xf numFmtId="0" fontId="14" fillId="2" borderId="1" xfId="0" applyFont="1" applyFill="1" applyBorder="1" applyAlignment="1">
      <alignment horizontal="left"/>
    </xf>
    <xf numFmtId="0" fontId="19" fillId="2" borderId="77" xfId="0" applyFont="1" applyFill="1" applyBorder="1" applyAlignment="1">
      <alignment horizontal="left"/>
    </xf>
    <xf numFmtId="0" fontId="19" fillId="2" borderId="0" xfId="0" applyFont="1" applyFill="1" applyBorder="1" applyAlignment="1">
      <alignment horizontal="left"/>
    </xf>
    <xf numFmtId="0" fontId="19" fillId="2" borderId="78" xfId="0" applyFont="1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5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28" fillId="2" borderId="20" xfId="0" applyFont="1" applyFill="1" applyBorder="1" applyAlignment="1">
      <alignment horizontal="center"/>
    </xf>
    <xf numFmtId="0" fontId="14" fillId="6" borderId="27" xfId="0" applyFont="1" applyFill="1" applyBorder="1" applyAlignment="1">
      <alignment horizontal="center"/>
    </xf>
    <xf numFmtId="0" fontId="14" fillId="6" borderId="26" xfId="0" applyFont="1" applyFill="1" applyBorder="1" applyAlignment="1">
      <alignment horizontal="center"/>
    </xf>
    <xf numFmtId="0" fontId="14" fillId="6" borderId="28" xfId="0" applyFont="1" applyFill="1" applyBorder="1" applyAlignment="1">
      <alignment horizontal="center"/>
    </xf>
    <xf numFmtId="0" fontId="14" fillId="2" borderId="9" xfId="0" applyFont="1" applyFill="1" applyBorder="1" applyAlignment="1">
      <alignment horizontal="left"/>
    </xf>
    <xf numFmtId="0" fontId="14" fillId="2" borderId="10" xfId="0" applyFont="1" applyFill="1" applyBorder="1" applyAlignment="1">
      <alignment horizontal="left"/>
    </xf>
    <xf numFmtId="0" fontId="26" fillId="2" borderId="23" xfId="0" applyFont="1" applyFill="1" applyBorder="1" applyAlignment="1">
      <alignment horizontal="left" vertical="top" wrapText="1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14" fillId="6" borderId="34" xfId="0" applyFont="1" applyFill="1" applyBorder="1" applyAlignment="1">
      <alignment horizontal="center"/>
    </xf>
    <xf numFmtId="0" fontId="14" fillId="6" borderId="35" xfId="0" applyFont="1" applyFill="1" applyBorder="1" applyAlignment="1">
      <alignment horizontal="center"/>
    </xf>
    <xf numFmtId="0" fontId="14" fillId="6" borderId="33" xfId="0" applyFont="1" applyFill="1" applyBorder="1" applyAlignment="1">
      <alignment horizontal="center"/>
    </xf>
    <xf numFmtId="0" fontId="15" fillId="7" borderId="27" xfId="0" applyFont="1" applyFill="1" applyBorder="1" applyAlignment="1">
      <alignment horizontal="center"/>
    </xf>
    <xf numFmtId="0" fontId="15" fillId="7" borderId="28" xfId="0" applyFont="1" applyFill="1" applyBorder="1" applyAlignment="1">
      <alignment horizontal="center"/>
    </xf>
    <xf numFmtId="0" fontId="19" fillId="2" borderId="74" xfId="0" applyFont="1" applyFill="1" applyBorder="1" applyAlignment="1">
      <alignment horizontal="left"/>
    </xf>
    <xf numFmtId="0" fontId="19" fillId="2" borderId="75" xfId="0" applyFont="1" applyFill="1" applyBorder="1" applyAlignment="1">
      <alignment horizontal="left"/>
    </xf>
    <xf numFmtId="0" fontId="19" fillId="2" borderId="76" xfId="0" applyFont="1" applyFill="1" applyBorder="1" applyAlignment="1">
      <alignment horizontal="left"/>
    </xf>
    <xf numFmtId="0" fontId="14" fillId="2" borderId="31" xfId="0" applyFont="1" applyFill="1" applyBorder="1" applyAlignment="1">
      <alignment horizontal="left"/>
    </xf>
    <xf numFmtId="0" fontId="14" fillId="2" borderId="30" xfId="0" applyFont="1" applyFill="1" applyBorder="1" applyAlignment="1">
      <alignment horizontal="left"/>
    </xf>
    <xf numFmtId="0" fontId="14" fillId="6" borderId="53" xfId="0" applyFont="1" applyFill="1" applyBorder="1" applyAlignment="1">
      <alignment horizontal="center" vertical="center"/>
    </xf>
    <xf numFmtId="0" fontId="14" fillId="6" borderId="89" xfId="0" applyFont="1" applyFill="1" applyBorder="1" applyAlignment="1">
      <alignment horizontal="center" vertical="center"/>
    </xf>
    <xf numFmtId="0" fontId="14" fillId="6" borderId="2" xfId="0" applyFont="1" applyFill="1" applyBorder="1" applyAlignment="1">
      <alignment horizontal="center" vertical="center"/>
    </xf>
    <xf numFmtId="0" fontId="14" fillId="6" borderId="83" xfId="0" applyFont="1" applyFill="1" applyBorder="1" applyAlignment="1">
      <alignment horizontal="center" vertical="center"/>
    </xf>
    <xf numFmtId="0" fontId="14" fillId="6" borderId="71" xfId="0" applyFont="1" applyFill="1" applyBorder="1" applyAlignment="1">
      <alignment horizontal="center" vertical="center"/>
    </xf>
    <xf numFmtId="0" fontId="14" fillId="6" borderId="92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19" fillId="2" borderId="74" xfId="0" applyFont="1" applyFill="1" applyBorder="1" applyAlignment="1">
      <alignment horizontal="left" wrapText="1"/>
    </xf>
    <xf numFmtId="0" fontId="19" fillId="2" borderId="75" xfId="0" applyFont="1" applyFill="1" applyBorder="1" applyAlignment="1">
      <alignment horizontal="left" wrapText="1"/>
    </xf>
    <xf numFmtId="0" fontId="19" fillId="2" borderId="76" xfId="0" applyFont="1" applyFill="1" applyBorder="1" applyAlignment="1">
      <alignment horizontal="left" wrapText="1"/>
    </xf>
    <xf numFmtId="0" fontId="14" fillId="6" borderId="2" xfId="0" applyFont="1" applyFill="1" applyBorder="1" applyAlignment="1">
      <alignment horizontal="center"/>
    </xf>
    <xf numFmtId="0" fontId="14" fillId="6" borderId="53" xfId="0" applyFont="1" applyFill="1" applyBorder="1" applyAlignment="1">
      <alignment horizontal="center"/>
    </xf>
    <xf numFmtId="0" fontId="14" fillId="6" borderId="4" xfId="0" applyFont="1" applyFill="1" applyBorder="1" applyAlignment="1">
      <alignment horizontal="center"/>
    </xf>
    <xf numFmtId="1" fontId="8" fillId="2" borderId="0" xfId="0" applyNumberFormat="1" applyFont="1" applyFill="1" applyBorder="1" applyAlignment="1">
      <alignment horizontal="center"/>
    </xf>
    <xf numFmtId="0" fontId="19" fillId="2" borderId="74" xfId="0" applyFont="1" applyFill="1" applyBorder="1" applyAlignment="1">
      <alignment horizontal="center" wrapText="1"/>
    </xf>
    <xf numFmtId="0" fontId="19" fillId="2" borderId="75" xfId="0" applyFont="1" applyFill="1" applyBorder="1" applyAlignment="1">
      <alignment horizontal="center" wrapText="1"/>
    </xf>
    <xf numFmtId="0" fontId="19" fillId="2" borderId="76" xfId="0" applyFont="1" applyFill="1" applyBorder="1" applyAlignment="1">
      <alignment horizontal="center" wrapText="1"/>
    </xf>
    <xf numFmtId="0" fontId="14" fillId="6" borderId="56" xfId="0" applyFont="1" applyFill="1" applyBorder="1" applyAlignment="1">
      <alignment horizontal="center"/>
    </xf>
    <xf numFmtId="0" fontId="14" fillId="6" borderId="57" xfId="0" applyFont="1" applyFill="1" applyBorder="1" applyAlignment="1">
      <alignment horizontal="center"/>
    </xf>
    <xf numFmtId="0" fontId="32" fillId="12" borderId="91" xfId="0" applyFont="1" applyFill="1" applyBorder="1" applyAlignment="1">
      <alignment horizontal="center" vertical="center"/>
    </xf>
    <xf numFmtId="0" fontId="32" fillId="12" borderId="89" xfId="0" applyFont="1" applyFill="1" applyBorder="1" applyAlignment="1">
      <alignment horizontal="center" vertical="center"/>
    </xf>
    <xf numFmtId="0" fontId="32" fillId="12" borderId="90" xfId="0" applyFont="1" applyFill="1" applyBorder="1" applyAlignment="1">
      <alignment horizontal="center" vertical="center"/>
    </xf>
    <xf numFmtId="0" fontId="1" fillId="9" borderId="27" xfId="0" applyFont="1" applyFill="1" applyBorder="1" applyAlignment="1">
      <alignment horizontal="center" vertical="center"/>
    </xf>
    <xf numFmtId="0" fontId="1" fillId="9" borderId="26" xfId="0" applyFont="1" applyFill="1" applyBorder="1" applyAlignment="1">
      <alignment horizontal="center" vertical="center"/>
    </xf>
    <xf numFmtId="0" fontId="1" fillId="9" borderId="28" xfId="0" applyFont="1" applyFill="1" applyBorder="1" applyAlignment="1">
      <alignment horizontal="center" vertical="center"/>
    </xf>
    <xf numFmtId="0" fontId="31" fillId="2" borderId="9" xfId="0" applyFont="1" applyFill="1" applyBorder="1" applyAlignment="1">
      <alignment horizontal="center" vertical="center"/>
    </xf>
    <xf numFmtId="0" fontId="31" fillId="2" borderId="10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32" fillId="12" borderId="56" xfId="0" applyFont="1" applyFill="1" applyBorder="1" applyAlignment="1">
      <alignment horizontal="center" vertical="center"/>
    </xf>
    <xf numFmtId="0" fontId="32" fillId="12" borderId="53" xfId="0" applyFont="1" applyFill="1" applyBorder="1" applyAlignment="1">
      <alignment horizontal="center" vertical="center"/>
    </xf>
    <xf numFmtId="0" fontId="32" fillId="12" borderId="57" xfId="0" applyFont="1" applyFill="1" applyBorder="1" applyAlignment="1">
      <alignment horizontal="center" vertical="center"/>
    </xf>
    <xf numFmtId="0" fontId="1" fillId="9" borderId="34" xfId="0" applyFont="1" applyFill="1" applyBorder="1" applyAlignment="1">
      <alignment horizontal="center" vertical="center"/>
    </xf>
    <xf numFmtId="0" fontId="1" fillId="9" borderId="35" xfId="0" applyFont="1" applyFill="1" applyBorder="1" applyAlignment="1">
      <alignment horizontal="center" vertical="center"/>
    </xf>
    <xf numFmtId="0" fontId="1" fillId="9" borderId="33" xfId="0" applyFont="1" applyFill="1" applyBorder="1" applyAlignment="1">
      <alignment horizontal="center" vertical="center"/>
    </xf>
    <xf numFmtId="0" fontId="14" fillId="2" borderId="31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 wrapText="1"/>
    </xf>
    <xf numFmtId="0" fontId="1" fillId="2" borderId="84" xfId="0" applyFont="1" applyFill="1" applyBorder="1" applyAlignment="1">
      <alignment horizontal="center" vertical="center" wrapText="1"/>
    </xf>
    <xf numFmtId="0" fontId="1" fillId="2" borderId="83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83" xfId="0" applyFont="1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86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85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0" fillId="2" borderId="47" xfId="0" applyFont="1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1" fillId="11" borderId="27" xfId="0" applyFont="1" applyFill="1" applyBorder="1" applyAlignment="1">
      <alignment horizontal="center" vertical="center"/>
    </xf>
    <xf numFmtId="0" fontId="1" fillId="11" borderId="28" xfId="0" applyFont="1" applyFill="1" applyBorder="1" applyAlignment="1">
      <alignment horizontal="center" vertical="center"/>
    </xf>
    <xf numFmtId="0" fontId="31" fillId="2" borderId="2" xfId="0" applyFont="1" applyFill="1" applyBorder="1" applyAlignment="1">
      <alignment horizontal="center" vertical="center"/>
    </xf>
    <xf numFmtId="0" fontId="31" fillId="2" borderId="3" xfId="0" applyFont="1" applyFill="1" applyBorder="1" applyAlignment="1">
      <alignment horizontal="center" vertical="center"/>
    </xf>
    <xf numFmtId="0" fontId="31" fillId="2" borderId="5" xfId="0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/>
    </xf>
    <xf numFmtId="0" fontId="1" fillId="11" borderId="25" xfId="0" applyFont="1" applyFill="1" applyBorder="1" applyAlignment="1">
      <alignment horizontal="center" vertical="center" wrapText="1"/>
    </xf>
    <xf numFmtId="0" fontId="1" fillId="11" borderId="88" xfId="0" applyFont="1" applyFill="1" applyBorder="1" applyAlignment="1">
      <alignment horizontal="center" vertical="center" wrapText="1"/>
    </xf>
    <xf numFmtId="0" fontId="1" fillId="11" borderId="73" xfId="0" applyFont="1" applyFill="1" applyBorder="1" applyAlignment="1">
      <alignment horizontal="center" vertical="center" wrapText="1"/>
    </xf>
    <xf numFmtId="0" fontId="0" fillId="2" borderId="77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" fillId="6" borderId="25" xfId="0" applyFont="1" applyFill="1" applyBorder="1" applyAlignment="1">
      <alignment horizontal="center" vertical="center" wrapText="1"/>
    </xf>
    <xf numFmtId="0" fontId="1" fillId="6" borderId="42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10" fillId="6" borderId="34" xfId="0" applyFont="1" applyFill="1" applyBorder="1" applyAlignment="1">
      <alignment horizontal="center" vertical="center" wrapText="1"/>
    </xf>
    <xf numFmtId="0" fontId="10" fillId="6" borderId="35" xfId="0" applyFont="1" applyFill="1" applyBorder="1" applyAlignment="1">
      <alignment horizontal="center" vertical="center" wrapText="1"/>
    </xf>
    <xf numFmtId="0" fontId="10" fillId="6" borderId="33" xfId="0" applyFont="1" applyFill="1" applyBorder="1" applyAlignment="1">
      <alignment horizontal="center" vertical="center" wrapText="1"/>
    </xf>
    <xf numFmtId="0" fontId="1" fillId="6" borderId="22" xfId="0" applyFont="1" applyFill="1" applyBorder="1" applyAlignment="1">
      <alignment horizontal="center"/>
    </xf>
    <xf numFmtId="0" fontId="1" fillId="6" borderId="24" xfId="0" applyFont="1" applyFill="1" applyBorder="1" applyAlignment="1">
      <alignment horizontal="center"/>
    </xf>
    <xf numFmtId="0" fontId="24" fillId="2" borderId="0" xfId="0" applyFont="1" applyFill="1" applyBorder="1" applyAlignment="1">
      <alignment horizontal="center"/>
    </xf>
    <xf numFmtId="0" fontId="25" fillId="2" borderId="22" xfId="0" applyFont="1" applyFill="1" applyBorder="1" applyAlignment="1">
      <alignment horizontal="left"/>
    </xf>
    <xf numFmtId="0" fontId="25" fillId="2" borderId="23" xfId="0" applyFont="1" applyFill="1" applyBorder="1" applyAlignment="1">
      <alignment horizontal="left"/>
    </xf>
    <xf numFmtId="0" fontId="25" fillId="2" borderId="24" xfId="0" applyFont="1" applyFill="1" applyBorder="1" applyAlignment="1">
      <alignment horizontal="left"/>
    </xf>
    <xf numFmtId="0" fontId="19" fillId="2" borderId="0" xfId="0" applyFont="1" applyFill="1" applyBorder="1" applyAlignment="1">
      <alignment horizontal="center"/>
    </xf>
    <xf numFmtId="0" fontId="25" fillId="2" borderId="23" xfId="0" applyFont="1" applyFill="1" applyBorder="1" applyAlignment="1"/>
    <xf numFmtId="0" fontId="19" fillId="2" borderId="23" xfId="0" applyFont="1" applyFill="1" applyBorder="1" applyAlignment="1">
      <alignment horizontal="left"/>
    </xf>
    <xf numFmtId="0" fontId="0" fillId="2" borderId="31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2" xfId="0" applyFont="1" applyFill="1" applyBorder="1" applyAlignment="1">
      <alignment horizontal="left"/>
    </xf>
    <xf numFmtId="0" fontId="0" fillId="2" borderId="3" xfId="0" applyFont="1" applyFill="1" applyBorder="1" applyAlignment="1">
      <alignment horizontal="left"/>
    </xf>
    <xf numFmtId="0" fontId="0" fillId="2" borderId="5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left"/>
    </xf>
    <xf numFmtId="0" fontId="0" fillId="2" borderId="9" xfId="0" applyFont="1" applyFill="1" applyBorder="1" applyAlignment="1">
      <alignment horizontal="left"/>
    </xf>
    <xf numFmtId="0" fontId="0" fillId="2" borderId="10" xfId="0" applyFont="1" applyFill="1" applyBorder="1" applyAlignment="1">
      <alignment horizontal="left"/>
    </xf>
    <xf numFmtId="0" fontId="16" fillId="8" borderId="27" xfId="0" applyFont="1" applyFill="1" applyBorder="1" applyAlignment="1">
      <alignment horizontal="center" wrapText="1"/>
    </xf>
    <xf numFmtId="0" fontId="16" fillId="8" borderId="26" xfId="0" applyFont="1" applyFill="1" applyBorder="1" applyAlignment="1">
      <alignment horizontal="center" wrapText="1"/>
    </xf>
    <xf numFmtId="0" fontId="16" fillId="8" borderId="28" xfId="0" applyFont="1" applyFill="1" applyBorder="1" applyAlignment="1">
      <alignment horizontal="center" wrapText="1"/>
    </xf>
    <xf numFmtId="0" fontId="16" fillId="8" borderId="56" xfId="0" applyFont="1" applyFill="1" applyBorder="1" applyAlignment="1">
      <alignment horizontal="center" vertical="center" wrapText="1"/>
    </xf>
    <xf numFmtId="0" fontId="16" fillId="8" borderId="53" xfId="0" applyFont="1" applyFill="1" applyBorder="1" applyAlignment="1">
      <alignment horizontal="center" vertical="center" wrapText="1"/>
    </xf>
    <xf numFmtId="0" fontId="16" fillId="8" borderId="57" xfId="0" applyFont="1" applyFill="1" applyBorder="1" applyAlignment="1">
      <alignment horizontal="center" vertical="center" wrapText="1"/>
    </xf>
    <xf numFmtId="0" fontId="16" fillId="8" borderId="34" xfId="0" applyFont="1" applyFill="1" applyBorder="1" applyAlignment="1">
      <alignment horizontal="center" wrapText="1"/>
    </xf>
    <xf numFmtId="0" fontId="16" fillId="8" borderId="33" xfId="0" applyFont="1" applyFill="1" applyBorder="1" applyAlignment="1">
      <alignment horizontal="center" wrapText="1"/>
    </xf>
    <xf numFmtId="0" fontId="14" fillId="2" borderId="16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36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6" fillId="8" borderId="2" xfId="0" applyFont="1" applyFill="1" applyBorder="1" applyAlignment="1">
      <alignment horizontal="center" vertical="center"/>
    </xf>
    <xf numFmtId="0" fontId="16" fillId="8" borderId="3" xfId="0" applyFont="1" applyFill="1" applyBorder="1" applyAlignment="1">
      <alignment horizontal="center" vertical="center"/>
    </xf>
    <xf numFmtId="0" fontId="16" fillId="8" borderId="4" xfId="0" applyFont="1" applyFill="1" applyBorder="1" applyAlignment="1">
      <alignment horizontal="center" vertical="center"/>
    </xf>
    <xf numFmtId="0" fontId="16" fillId="8" borderId="34" xfId="0" applyFont="1" applyFill="1" applyBorder="1" applyAlignment="1">
      <alignment horizontal="center" vertical="center"/>
    </xf>
    <xf numFmtId="0" fontId="16" fillId="8" borderId="35" xfId="0" applyFont="1" applyFill="1" applyBorder="1" applyAlignment="1">
      <alignment horizontal="center" vertical="center"/>
    </xf>
    <xf numFmtId="0" fontId="16" fillId="8" borderId="33" xfId="0" applyFont="1" applyFill="1" applyBorder="1" applyAlignment="1">
      <alignment horizontal="center" vertical="center"/>
    </xf>
  </cellXfs>
  <cellStyles count="3">
    <cellStyle name="Moneda" xfId="2" builtinId="4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microsoft.com/office/2006/relationships/vbaProject" Target="vbaProject.bin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chart>
    <c:autoTitleDeleted val="1"/>
    <c:plotArea>
      <c:layout/>
      <c:scatterChart>
        <c:scatterStyle val="smoothMarker"/>
        <c:ser>
          <c:idx val="0"/>
          <c:order val="0"/>
          <c:tx>
            <c:v>Curva de la bomba</c:v>
          </c:tx>
          <c:marker>
            <c:symbol val="none"/>
          </c:marker>
          <c:xVal>
            <c:numRef>
              <c:f>'Datos curvas'!$V$16:$V$23</c:f>
              <c:numCache>
                <c:formatCode>0.00</c:formatCode>
                <c:ptCount val="8"/>
                <c:pt idx="0">
                  <c:v>0.66666666666666663</c:v>
                </c:pt>
                <c:pt idx="1">
                  <c:v>1.6666666666666665</c:v>
                </c:pt>
                <c:pt idx="2">
                  <c:v>2.5</c:v>
                </c:pt>
                <c:pt idx="3">
                  <c:v>3.333333333333333</c:v>
                </c:pt>
                <c:pt idx="4">
                  <c:v>5</c:v>
                </c:pt>
                <c:pt idx="5">
                  <c:v>6.6666666666666661</c:v>
                </c:pt>
                <c:pt idx="6">
                  <c:v>10</c:v>
                </c:pt>
              </c:numCache>
            </c:numRef>
          </c:xVal>
          <c:yVal>
            <c:numRef>
              <c:f>'Datos curvas'!$W$16:$W$23</c:f>
              <c:numCache>
                <c:formatCode>General</c:formatCode>
                <c:ptCount val="8"/>
                <c:pt idx="0">
                  <c:v>14</c:v>
                </c:pt>
                <c:pt idx="1">
                  <c:v>12.7</c:v>
                </c:pt>
                <c:pt idx="2">
                  <c:v>11.8</c:v>
                </c:pt>
                <c:pt idx="3">
                  <c:v>10.5</c:v>
                </c:pt>
                <c:pt idx="4">
                  <c:v>8.5</c:v>
                </c:pt>
                <c:pt idx="5">
                  <c:v>6.4</c:v>
                </c:pt>
                <c:pt idx="6">
                  <c:v>3</c:v>
                </c:pt>
              </c:numCache>
            </c:numRef>
          </c:yVal>
          <c:smooth val="1"/>
        </c:ser>
        <c:ser>
          <c:idx val="1"/>
          <c:order val="1"/>
          <c:tx>
            <c:v>Curva del sistema nivel mínimo</c:v>
          </c:tx>
          <c:spPr>
            <a:ln>
              <a:prstDash val="dash"/>
            </a:ln>
          </c:spPr>
          <c:marker>
            <c:symbol val="none"/>
          </c:marker>
          <c:xVal>
            <c:numRef>
              <c:f>'Datos curvas'!$B$17:$B$27</c:f>
              <c:numCache>
                <c:formatCode>0.00</c:formatCode>
                <c:ptCount val="11"/>
                <c:pt idx="0">
                  <c:v>0</c:v>
                </c:pt>
                <c:pt idx="1">
                  <c:v>0.79365079365079361</c:v>
                </c:pt>
                <c:pt idx="2">
                  <c:v>1.5873015873015872</c:v>
                </c:pt>
                <c:pt idx="3">
                  <c:v>2.3809523809523809</c:v>
                </c:pt>
                <c:pt idx="4">
                  <c:v>3.1746031746031744</c:v>
                </c:pt>
                <c:pt idx="5">
                  <c:v>3.9682539682539679</c:v>
                </c:pt>
                <c:pt idx="6">
                  <c:v>4.7619047619047619</c:v>
                </c:pt>
                <c:pt idx="7">
                  <c:v>5.5555555555555554</c:v>
                </c:pt>
                <c:pt idx="8">
                  <c:v>6.3492063492063489</c:v>
                </c:pt>
                <c:pt idx="9">
                  <c:v>7.1428571428571423</c:v>
                </c:pt>
                <c:pt idx="10">
                  <c:v>7.9365079365079358</c:v>
                </c:pt>
              </c:numCache>
            </c:numRef>
          </c:xVal>
          <c:yVal>
            <c:numRef>
              <c:f>'Datos curvas'!$P$17:$P$27</c:f>
              <c:numCache>
                <c:formatCode>0.00</c:formatCode>
                <c:ptCount val="11"/>
                <c:pt idx="0">
                  <c:v>4.8500000000000014</c:v>
                </c:pt>
                <c:pt idx="1">
                  <c:v>4.9073685609021291</c:v>
                </c:pt>
                <c:pt idx="2">
                  <c:v>5.0595591758170473</c:v>
                </c:pt>
                <c:pt idx="3">
                  <c:v>5.3010506037513121</c:v>
                </c:pt>
                <c:pt idx="4">
                  <c:v>5.6298978041890244</c:v>
                </c:pt>
                <c:pt idx="5">
                  <c:v>6.0450353349878547</c:v>
                </c:pt>
                <c:pt idx="6">
                  <c:v>6.5457884292382085</c:v>
                </c:pt>
                <c:pt idx="7">
                  <c:v>7.1316940630021595</c:v>
                </c:pt>
                <c:pt idx="8">
                  <c:v>7.8024174915743609</c:v>
                </c:pt>
                <c:pt idx="9">
                  <c:v>8.557707541582916</c:v>
                </c:pt>
                <c:pt idx="10">
                  <c:v>9.397370372605101</c:v>
                </c:pt>
              </c:numCache>
            </c:numRef>
          </c:yVal>
          <c:smooth val="1"/>
        </c:ser>
        <c:ser>
          <c:idx val="2"/>
          <c:order val="2"/>
          <c:tx>
            <c:v>Curva del Sistema Nivel Máximo</c:v>
          </c:tx>
          <c:spPr>
            <a:ln>
              <a:prstDash val="dash"/>
            </a:ln>
          </c:spPr>
          <c:marker>
            <c:symbol val="none"/>
          </c:marker>
          <c:xVal>
            <c:numRef>
              <c:f>'Datos curvas'!$B$17:$B$27</c:f>
              <c:numCache>
                <c:formatCode>0.00</c:formatCode>
                <c:ptCount val="11"/>
                <c:pt idx="0">
                  <c:v>0</c:v>
                </c:pt>
                <c:pt idx="1">
                  <c:v>0.79365079365079361</c:v>
                </c:pt>
                <c:pt idx="2">
                  <c:v>1.5873015873015872</c:v>
                </c:pt>
                <c:pt idx="3">
                  <c:v>2.3809523809523809</c:v>
                </c:pt>
                <c:pt idx="4">
                  <c:v>3.1746031746031744</c:v>
                </c:pt>
                <c:pt idx="5">
                  <c:v>3.9682539682539679</c:v>
                </c:pt>
                <c:pt idx="6">
                  <c:v>4.7619047619047619</c:v>
                </c:pt>
                <c:pt idx="7">
                  <c:v>5.5555555555555554</c:v>
                </c:pt>
                <c:pt idx="8">
                  <c:v>6.3492063492063489</c:v>
                </c:pt>
                <c:pt idx="9">
                  <c:v>7.1428571428571423</c:v>
                </c:pt>
                <c:pt idx="10">
                  <c:v>7.9365079365079358</c:v>
                </c:pt>
              </c:numCache>
            </c:numRef>
          </c:xVal>
          <c:yVal>
            <c:numRef>
              <c:f>'Datos curvas'!$Q$17:$Q$27</c:f>
              <c:numCache>
                <c:formatCode>0.00</c:formatCode>
                <c:ptCount val="11"/>
                <c:pt idx="0">
                  <c:v>3.6499999999999986</c:v>
                </c:pt>
                <c:pt idx="1">
                  <c:v>3.7073685609021263</c:v>
                </c:pt>
                <c:pt idx="2">
                  <c:v>3.8595591758170449</c:v>
                </c:pt>
                <c:pt idx="3">
                  <c:v>4.1010506037513093</c:v>
                </c:pt>
                <c:pt idx="4">
                  <c:v>4.4298978041890216</c:v>
                </c:pt>
                <c:pt idx="5">
                  <c:v>4.8450353349878519</c:v>
                </c:pt>
                <c:pt idx="6">
                  <c:v>5.3457884292382056</c:v>
                </c:pt>
                <c:pt idx="7">
                  <c:v>5.9316940630021566</c:v>
                </c:pt>
                <c:pt idx="8">
                  <c:v>6.6024174915743581</c:v>
                </c:pt>
                <c:pt idx="9">
                  <c:v>7.3577075415829132</c:v>
                </c:pt>
                <c:pt idx="10">
                  <c:v>8.1973703726050982</c:v>
                </c:pt>
              </c:numCache>
            </c:numRef>
          </c:yVal>
          <c:smooth val="1"/>
        </c:ser>
        <c:axId val="83038592"/>
        <c:axId val="83040896"/>
      </c:scatterChart>
      <c:valAx>
        <c:axId val="83038592"/>
        <c:scaling>
          <c:orientation val="minMax"/>
        </c:scaling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s-CO"/>
                  <a:t>Caudal (l/s)</a:t>
                </a:r>
              </a:p>
            </c:rich>
          </c:tx>
        </c:title>
        <c:numFmt formatCode="0.00" sourceLinked="1"/>
        <c:tickLblPos val="nextTo"/>
        <c:crossAx val="83040896"/>
        <c:crosses val="autoZero"/>
        <c:crossBetween val="midCat"/>
      </c:valAx>
      <c:valAx>
        <c:axId val="83040896"/>
        <c:scaling>
          <c:orientation val="minMax"/>
        </c:scaling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CO"/>
                  <a:t>Altura Dinámica  (m)</a:t>
                </a:r>
              </a:p>
            </c:rich>
          </c:tx>
        </c:title>
        <c:numFmt formatCode="General" sourceLinked="1"/>
        <c:tickLblPos val="nextTo"/>
        <c:crossAx val="83038592"/>
        <c:crosses val="autoZero"/>
        <c:crossBetween val="midCat"/>
        <c:majorUnit val="1"/>
      </c:valAx>
    </c:plotArea>
    <c:legend>
      <c:legendPos val="b"/>
    </c:legend>
    <c:plotVisOnly val="1"/>
    <c:dispBlanksAs val="gap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45243</xdr:colOff>
      <xdr:row>14</xdr:row>
      <xdr:rowOff>90487</xdr:rowOff>
    </xdr:from>
    <xdr:to>
      <xdr:col>26</xdr:col>
      <xdr:colOff>121442</xdr:colOff>
      <xdr:row>40</xdr:row>
      <xdr:rowOff>83344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352425</xdr:colOff>
      <xdr:row>17</xdr:row>
      <xdr:rowOff>106682</xdr:rowOff>
    </xdr:from>
    <xdr:to>
      <xdr:col>12</xdr:col>
      <xdr:colOff>476250</xdr:colOff>
      <xdr:row>17</xdr:row>
      <xdr:rowOff>152401</xdr:rowOff>
    </xdr:to>
    <xdr:sp macro="" textlink="">
      <xdr:nvSpPr>
        <xdr:cNvPr id="2" name="1 Rectángulo"/>
        <xdr:cNvSpPr/>
      </xdr:nvSpPr>
      <xdr:spPr>
        <a:xfrm flipV="1">
          <a:off x="23793450" y="3526157"/>
          <a:ext cx="123825" cy="45719"/>
        </a:xfrm>
        <a:prstGeom prst="rect">
          <a:avLst/>
        </a:prstGeom>
        <a:solidFill>
          <a:schemeClr val="tx1">
            <a:lumMod val="50000"/>
            <a:lumOff val="50000"/>
          </a:schemeClr>
        </a:solidFill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CO" sz="1100"/>
        </a:p>
      </xdr:txBody>
    </xdr:sp>
    <xdr:clientData/>
  </xdr:twoCellAnchor>
  <xdr:twoCellAnchor>
    <xdr:from>
      <xdr:col>12</xdr:col>
      <xdr:colOff>142875</xdr:colOff>
      <xdr:row>17</xdr:row>
      <xdr:rowOff>57150</xdr:rowOff>
    </xdr:from>
    <xdr:to>
      <xdr:col>12</xdr:col>
      <xdr:colOff>352425</xdr:colOff>
      <xdr:row>18</xdr:row>
      <xdr:rowOff>28575</xdr:rowOff>
    </xdr:to>
    <xdr:sp macro="" textlink="">
      <xdr:nvSpPr>
        <xdr:cNvPr id="3" name="2 Elipse"/>
        <xdr:cNvSpPr/>
      </xdr:nvSpPr>
      <xdr:spPr>
        <a:xfrm>
          <a:off x="23583900" y="3476625"/>
          <a:ext cx="209550" cy="171450"/>
        </a:xfrm>
        <a:prstGeom prst="ellipse">
          <a:avLst/>
        </a:prstGeom>
        <a:solidFill>
          <a:schemeClr val="bg2">
            <a:lumMod val="50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s-CO" sz="1100"/>
        </a:p>
      </xdr:txBody>
    </xdr:sp>
    <xdr:clientData/>
  </xdr:twoCellAnchor>
  <xdr:twoCellAnchor>
    <xdr:from>
      <xdr:col>12</xdr:col>
      <xdr:colOff>142875</xdr:colOff>
      <xdr:row>18</xdr:row>
      <xdr:rowOff>19050</xdr:rowOff>
    </xdr:from>
    <xdr:to>
      <xdr:col>12</xdr:col>
      <xdr:colOff>352425</xdr:colOff>
      <xdr:row>18</xdr:row>
      <xdr:rowOff>190500</xdr:rowOff>
    </xdr:to>
    <xdr:sp macro="" textlink="">
      <xdr:nvSpPr>
        <xdr:cNvPr id="4" name="3 Triángulo isósceles"/>
        <xdr:cNvSpPr/>
      </xdr:nvSpPr>
      <xdr:spPr>
        <a:xfrm>
          <a:off x="23583900" y="3638550"/>
          <a:ext cx="209550" cy="171450"/>
        </a:xfrm>
        <a:prstGeom prst="triangle">
          <a:avLst/>
        </a:prstGeom>
        <a:solidFill>
          <a:schemeClr val="bg2">
            <a:lumMod val="50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s-CO" sz="1100"/>
        </a:p>
      </xdr:txBody>
    </xdr:sp>
    <xdr:clientData/>
  </xdr:twoCellAnchor>
  <xdr:twoCellAnchor>
    <xdr:from>
      <xdr:col>12</xdr:col>
      <xdr:colOff>447675</xdr:colOff>
      <xdr:row>8</xdr:row>
      <xdr:rowOff>95250</xdr:rowOff>
    </xdr:from>
    <xdr:to>
      <xdr:col>12</xdr:col>
      <xdr:colOff>495300</xdr:colOff>
      <xdr:row>17</xdr:row>
      <xdr:rowOff>152400</xdr:rowOff>
    </xdr:to>
    <xdr:sp macro="" textlink="">
      <xdr:nvSpPr>
        <xdr:cNvPr id="5" name="4 Rectángulo"/>
        <xdr:cNvSpPr/>
      </xdr:nvSpPr>
      <xdr:spPr>
        <a:xfrm>
          <a:off x="23888700" y="1714500"/>
          <a:ext cx="47625" cy="1857375"/>
        </a:xfrm>
        <a:prstGeom prst="rect">
          <a:avLst/>
        </a:prstGeom>
        <a:solidFill>
          <a:schemeClr val="tx1">
            <a:lumMod val="50000"/>
            <a:lumOff val="50000"/>
          </a:schemeClr>
        </a:solidFill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CO" sz="1100"/>
        </a:p>
      </xdr:txBody>
    </xdr:sp>
    <xdr:clientData/>
  </xdr:twoCellAnchor>
  <xdr:twoCellAnchor>
    <xdr:from>
      <xdr:col>12</xdr:col>
      <xdr:colOff>504825</xdr:colOff>
      <xdr:row>8</xdr:row>
      <xdr:rowOff>95250</xdr:rowOff>
    </xdr:from>
    <xdr:to>
      <xdr:col>14</xdr:col>
      <xdr:colOff>390525</xdr:colOff>
      <xdr:row>8</xdr:row>
      <xdr:rowOff>140969</xdr:rowOff>
    </xdr:to>
    <xdr:sp macro="" textlink="">
      <xdr:nvSpPr>
        <xdr:cNvPr id="6" name="5 Rectángulo"/>
        <xdr:cNvSpPr/>
      </xdr:nvSpPr>
      <xdr:spPr>
        <a:xfrm>
          <a:off x="23945850" y="1714500"/>
          <a:ext cx="828675" cy="45719"/>
        </a:xfrm>
        <a:prstGeom prst="rect">
          <a:avLst/>
        </a:prstGeom>
        <a:solidFill>
          <a:schemeClr val="tx1">
            <a:lumMod val="50000"/>
            <a:lumOff val="50000"/>
          </a:schemeClr>
        </a:solidFill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CO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3.v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4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ntrol" Target="../activeX/activeX2.xml"/><Relationship Id="rId1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>
    <tabColor theme="6"/>
  </sheetPr>
  <dimension ref="B1:J42"/>
  <sheetViews>
    <sheetView tabSelected="1" workbookViewId="0">
      <selection activeCell="L4" sqref="L4"/>
    </sheetView>
  </sheetViews>
  <sheetFormatPr baseColWidth="10" defaultRowHeight="15"/>
  <cols>
    <col min="1" max="2" width="5.7109375" style="34" customWidth="1"/>
    <col min="3" max="5" width="13.7109375" style="34" customWidth="1"/>
    <col min="6" max="7" width="11.28515625" style="34" bestFit="1" customWidth="1"/>
    <col min="8" max="8" width="5.7109375" style="34" customWidth="1"/>
    <col min="9" max="16384" width="11.42578125" style="34"/>
  </cols>
  <sheetData>
    <row r="1" spans="2:10" ht="12" customHeight="1" thickBot="1"/>
    <row r="2" spans="2:10" ht="12" customHeight="1" thickTop="1">
      <c r="B2" s="318"/>
      <c r="C2" s="319"/>
      <c r="D2" s="319"/>
      <c r="E2" s="319"/>
      <c r="F2" s="319"/>
      <c r="G2" s="319"/>
      <c r="H2" s="320"/>
    </row>
    <row r="3" spans="2:10" s="36" customFormat="1" ht="18.75">
      <c r="B3" s="500" t="s">
        <v>458</v>
      </c>
      <c r="C3" s="501"/>
      <c r="D3" s="501"/>
      <c r="E3" s="501"/>
      <c r="F3" s="501"/>
      <c r="G3" s="501"/>
      <c r="H3" s="502"/>
      <c r="I3" s="306"/>
      <c r="J3" s="306"/>
    </row>
    <row r="4" spans="2:10" ht="12" customHeight="1">
      <c r="B4" s="321"/>
      <c r="C4" s="36"/>
      <c r="D4" s="36"/>
      <c r="E4" s="36"/>
      <c r="F4" s="36"/>
      <c r="G4" s="36"/>
      <c r="H4" s="322"/>
    </row>
    <row r="5" spans="2:10" ht="12" customHeight="1">
      <c r="B5" s="321"/>
      <c r="C5" s="503" t="s">
        <v>461</v>
      </c>
      <c r="D5" s="503"/>
      <c r="E5" s="503"/>
      <c r="F5" s="503"/>
      <c r="G5" s="503"/>
      <c r="H5" s="322"/>
    </row>
    <row r="6" spans="2:10" ht="9.75" customHeight="1" thickBot="1">
      <c r="B6" s="321"/>
      <c r="C6" s="36"/>
      <c r="D6" s="36"/>
      <c r="E6" s="36"/>
      <c r="F6" s="36"/>
      <c r="G6" s="36"/>
      <c r="H6" s="322"/>
    </row>
    <row r="7" spans="2:10" ht="15.75" thickBot="1">
      <c r="B7" s="321"/>
      <c r="C7" s="508" t="s">
        <v>458</v>
      </c>
      <c r="D7" s="509"/>
      <c r="E7" s="509"/>
      <c r="F7" s="509"/>
      <c r="G7" s="510"/>
      <c r="H7" s="322"/>
    </row>
    <row r="8" spans="2:10" ht="18" thickBot="1">
      <c r="B8" s="321"/>
      <c r="C8" s="486" t="s">
        <v>3</v>
      </c>
      <c r="D8" s="487"/>
      <c r="E8" s="488"/>
      <c r="F8" s="148">
        <v>20</v>
      </c>
      <c r="G8" s="164" t="s">
        <v>467</v>
      </c>
      <c r="H8" s="322"/>
    </row>
    <row r="9" spans="2:10" ht="15.75" thickBot="1">
      <c r="B9" s="321"/>
      <c r="C9" s="498" t="s">
        <v>465</v>
      </c>
      <c r="D9" s="499"/>
      <c r="E9" s="499"/>
      <c r="F9" s="148">
        <v>45</v>
      </c>
      <c r="G9" s="96" t="s">
        <v>4</v>
      </c>
      <c r="H9" s="322"/>
    </row>
    <row r="10" spans="2:10" ht="15.75" thickBot="1">
      <c r="B10" s="321"/>
      <c r="C10" s="498" t="s">
        <v>584</v>
      </c>
      <c r="D10" s="499"/>
      <c r="E10" s="499"/>
      <c r="F10" s="148">
        <v>43.63</v>
      </c>
      <c r="G10" s="96" t="s">
        <v>4</v>
      </c>
      <c r="H10" s="322"/>
    </row>
    <row r="11" spans="2:10" ht="15.75" thickBot="1">
      <c r="B11" s="321"/>
      <c r="C11" s="498" t="s">
        <v>464</v>
      </c>
      <c r="D11" s="499"/>
      <c r="E11" s="499"/>
      <c r="F11" s="148">
        <v>47</v>
      </c>
      <c r="G11" s="41" t="s">
        <v>4</v>
      </c>
      <c r="H11" s="322"/>
    </row>
    <row r="12" spans="2:10" ht="15.75" thickBot="1">
      <c r="B12" s="321"/>
      <c r="C12" s="498" t="s">
        <v>466</v>
      </c>
      <c r="D12" s="499"/>
      <c r="E12" s="499"/>
      <c r="F12" s="148">
        <v>50</v>
      </c>
      <c r="G12" s="41" t="s">
        <v>0</v>
      </c>
      <c r="H12" s="322"/>
    </row>
    <row r="13" spans="2:10" ht="15.75" thickBot="1">
      <c r="B13" s="321"/>
      <c r="C13" s="498" t="s">
        <v>462</v>
      </c>
      <c r="D13" s="499"/>
      <c r="E13" s="499"/>
      <c r="F13" s="148">
        <v>15</v>
      </c>
      <c r="G13" s="41" t="s">
        <v>6</v>
      </c>
      <c r="H13" s="322"/>
    </row>
    <row r="14" spans="2:10" ht="15.75" thickBot="1">
      <c r="B14" s="321"/>
      <c r="C14" s="498" t="s">
        <v>463</v>
      </c>
      <c r="D14" s="499"/>
      <c r="E14" s="499"/>
      <c r="F14" s="148">
        <v>15</v>
      </c>
      <c r="G14" s="41" t="s">
        <v>278</v>
      </c>
      <c r="H14" s="322"/>
    </row>
    <row r="15" spans="2:10" ht="15.75" thickBot="1">
      <c r="B15" s="321"/>
      <c r="C15" s="498" t="s">
        <v>487</v>
      </c>
      <c r="D15" s="499"/>
      <c r="E15" s="499"/>
      <c r="F15" s="148">
        <v>800</v>
      </c>
      <c r="G15" s="41" t="s">
        <v>494</v>
      </c>
      <c r="H15" s="322"/>
    </row>
    <row r="16" spans="2:10" ht="15.75" thickBot="1">
      <c r="B16" s="321"/>
      <c r="C16" s="498" t="s">
        <v>488</v>
      </c>
      <c r="D16" s="499"/>
      <c r="E16" s="499"/>
      <c r="F16" s="148">
        <v>20</v>
      </c>
      <c r="G16" s="41" t="s">
        <v>489</v>
      </c>
      <c r="H16" s="322"/>
    </row>
    <row r="17" spans="2:8" ht="15.75" thickBot="1">
      <c r="B17" s="321"/>
      <c r="C17" s="498" t="s">
        <v>579</v>
      </c>
      <c r="D17" s="499"/>
      <c r="E17" s="499"/>
      <c r="F17" s="148">
        <v>0.05</v>
      </c>
      <c r="G17" s="41"/>
      <c r="H17" s="322"/>
    </row>
    <row r="18" spans="2:8" ht="15.75" thickBot="1">
      <c r="B18" s="321"/>
      <c r="C18" s="511" t="s">
        <v>492</v>
      </c>
      <c r="D18" s="512"/>
      <c r="E18" s="512"/>
      <c r="F18" s="148">
        <v>0.12</v>
      </c>
      <c r="G18" s="417" t="s">
        <v>493</v>
      </c>
      <c r="H18" s="322"/>
    </row>
    <row r="19" spans="2:8">
      <c r="B19" s="321"/>
      <c r="C19" s="36"/>
      <c r="D19" s="36"/>
      <c r="E19" s="36"/>
      <c r="F19" s="36"/>
      <c r="G19" s="36"/>
      <c r="H19" s="322"/>
    </row>
    <row r="20" spans="2:8" ht="15.75" thickBot="1">
      <c r="B20" s="321"/>
      <c r="C20" s="507" t="s">
        <v>468</v>
      </c>
      <c r="D20" s="507"/>
      <c r="E20" s="507"/>
      <c r="F20" s="507"/>
      <c r="G20" s="507"/>
      <c r="H20" s="322"/>
    </row>
    <row r="21" spans="2:8">
      <c r="B21" s="321"/>
      <c r="C21" s="489" t="s">
        <v>31</v>
      </c>
      <c r="D21" s="490"/>
      <c r="E21" s="491"/>
      <c r="F21" s="395" t="s">
        <v>53</v>
      </c>
      <c r="G21" s="397" t="s">
        <v>469</v>
      </c>
      <c r="H21" s="322"/>
    </row>
    <row r="22" spans="2:8" ht="15.75" thickBot="1">
      <c r="B22" s="321"/>
      <c r="C22" s="492"/>
      <c r="D22" s="493"/>
      <c r="E22" s="494"/>
      <c r="F22" s="396" t="s">
        <v>32</v>
      </c>
      <c r="G22" s="398" t="s">
        <v>32</v>
      </c>
      <c r="H22" s="322"/>
    </row>
    <row r="23" spans="2:8" ht="15.75" thickBot="1">
      <c r="B23" s="321"/>
      <c r="C23" s="495" t="s">
        <v>40</v>
      </c>
      <c r="D23" s="496"/>
      <c r="E23" s="497"/>
      <c r="F23" s="307">
        <v>0</v>
      </c>
      <c r="G23" s="307">
        <v>0</v>
      </c>
      <c r="H23" s="322"/>
    </row>
    <row r="24" spans="2:8" ht="15.75" thickBot="1">
      <c r="B24" s="321"/>
      <c r="C24" s="504" t="s">
        <v>430</v>
      </c>
      <c r="D24" s="505"/>
      <c r="E24" s="506"/>
      <c r="F24" s="307">
        <v>0</v>
      </c>
      <c r="G24" s="307">
        <v>0</v>
      </c>
      <c r="H24" s="322"/>
    </row>
    <row r="25" spans="2:8" ht="15.75" thickBot="1">
      <c r="B25" s="321"/>
      <c r="C25" s="504" t="s">
        <v>431</v>
      </c>
      <c r="D25" s="505"/>
      <c r="E25" s="506"/>
      <c r="F25" s="307">
        <v>1</v>
      </c>
      <c r="G25" s="307">
        <v>0</v>
      </c>
      <c r="H25" s="322"/>
    </row>
    <row r="26" spans="2:8" ht="15.75" thickBot="1">
      <c r="B26" s="321"/>
      <c r="C26" s="504" t="s">
        <v>39</v>
      </c>
      <c r="D26" s="505"/>
      <c r="E26" s="506"/>
      <c r="F26" s="307">
        <v>1</v>
      </c>
      <c r="G26" s="307">
        <v>0</v>
      </c>
      <c r="H26" s="322"/>
    </row>
    <row r="27" spans="2:8" ht="15.75" thickBot="1">
      <c r="B27" s="321"/>
      <c r="C27" s="504" t="s">
        <v>432</v>
      </c>
      <c r="D27" s="505"/>
      <c r="E27" s="506"/>
      <c r="F27" s="307">
        <v>0</v>
      </c>
      <c r="G27" s="307">
        <v>3</v>
      </c>
      <c r="H27" s="322"/>
    </row>
    <row r="28" spans="2:8" ht="15.75" thickBot="1">
      <c r="B28" s="321"/>
      <c r="C28" s="504" t="s">
        <v>433</v>
      </c>
      <c r="D28" s="505"/>
      <c r="E28" s="506"/>
      <c r="F28" s="307">
        <v>0</v>
      </c>
      <c r="G28" s="307">
        <v>0</v>
      </c>
      <c r="H28" s="322"/>
    </row>
    <row r="29" spans="2:8" ht="15.75" thickBot="1">
      <c r="B29" s="321"/>
      <c r="C29" s="504" t="s">
        <v>434</v>
      </c>
      <c r="D29" s="505"/>
      <c r="E29" s="506"/>
      <c r="F29" s="307">
        <v>1</v>
      </c>
      <c r="G29" s="307">
        <v>0</v>
      </c>
      <c r="H29" s="322"/>
    </row>
    <row r="30" spans="2:8" ht="15.75" thickBot="1">
      <c r="B30" s="321"/>
      <c r="C30" s="504" t="s">
        <v>33</v>
      </c>
      <c r="D30" s="505"/>
      <c r="E30" s="506"/>
      <c r="F30" s="307">
        <v>0</v>
      </c>
      <c r="G30" s="307">
        <v>2</v>
      </c>
      <c r="H30" s="322"/>
    </row>
    <row r="31" spans="2:8" ht="15.75" thickBot="1">
      <c r="B31" s="321"/>
      <c r="C31" s="504" t="s">
        <v>435</v>
      </c>
      <c r="D31" s="505"/>
      <c r="E31" s="506"/>
      <c r="F31" s="307">
        <v>2</v>
      </c>
      <c r="G31" s="307">
        <v>1</v>
      </c>
      <c r="H31" s="322"/>
    </row>
    <row r="32" spans="2:8" ht="15.75" thickBot="1">
      <c r="B32" s="321"/>
      <c r="C32" s="504" t="s">
        <v>436</v>
      </c>
      <c r="D32" s="505"/>
      <c r="E32" s="506"/>
      <c r="F32" s="307">
        <v>0</v>
      </c>
      <c r="G32" s="307">
        <v>0</v>
      </c>
      <c r="H32" s="322"/>
    </row>
    <row r="33" spans="2:8" ht="15.75" thickBot="1">
      <c r="B33" s="321"/>
      <c r="C33" s="504" t="s">
        <v>35</v>
      </c>
      <c r="D33" s="505"/>
      <c r="E33" s="506"/>
      <c r="F33" s="307">
        <v>1</v>
      </c>
      <c r="G33" s="307">
        <v>0</v>
      </c>
      <c r="H33" s="322"/>
    </row>
    <row r="34" spans="2:8" ht="15.75" thickBot="1">
      <c r="B34" s="321"/>
      <c r="C34" s="504" t="s">
        <v>437</v>
      </c>
      <c r="D34" s="505"/>
      <c r="E34" s="506"/>
      <c r="F34" s="307">
        <v>0</v>
      </c>
      <c r="G34" s="307">
        <v>0</v>
      </c>
      <c r="H34" s="322"/>
    </row>
    <row r="35" spans="2:8" ht="15.75" thickBot="1">
      <c r="B35" s="321"/>
      <c r="C35" s="504" t="s">
        <v>438</v>
      </c>
      <c r="D35" s="505"/>
      <c r="E35" s="506"/>
      <c r="F35" s="307">
        <v>0</v>
      </c>
      <c r="G35" s="307">
        <v>0</v>
      </c>
      <c r="H35" s="322"/>
    </row>
    <row r="36" spans="2:8" ht="15.75" thickBot="1">
      <c r="B36" s="321"/>
      <c r="C36" s="504" t="s">
        <v>439</v>
      </c>
      <c r="D36" s="505"/>
      <c r="E36" s="506"/>
      <c r="F36" s="307">
        <v>0</v>
      </c>
      <c r="G36" s="307">
        <v>0</v>
      </c>
      <c r="H36" s="322"/>
    </row>
    <row r="37" spans="2:8" ht="15.75" thickBot="1">
      <c r="B37" s="321"/>
      <c r="C37" s="504" t="s">
        <v>440</v>
      </c>
      <c r="D37" s="505"/>
      <c r="E37" s="506"/>
      <c r="F37" s="307">
        <v>0</v>
      </c>
      <c r="G37" s="307">
        <v>0</v>
      </c>
      <c r="H37" s="322"/>
    </row>
    <row r="38" spans="2:8" ht="15.75" thickBot="1">
      <c r="B38" s="321"/>
      <c r="C38" s="504" t="s">
        <v>441</v>
      </c>
      <c r="D38" s="505"/>
      <c r="E38" s="506"/>
      <c r="F38" s="307">
        <v>0</v>
      </c>
      <c r="G38" s="307">
        <v>0</v>
      </c>
      <c r="H38" s="322"/>
    </row>
    <row r="39" spans="2:8" ht="15.75" thickBot="1">
      <c r="B39" s="321"/>
      <c r="C39" s="514" t="s">
        <v>34</v>
      </c>
      <c r="D39" s="515"/>
      <c r="E39" s="516"/>
      <c r="F39" s="307">
        <v>0</v>
      </c>
      <c r="G39" s="307">
        <v>1</v>
      </c>
      <c r="H39" s="322"/>
    </row>
    <row r="40" spans="2:8" ht="42" customHeight="1">
      <c r="B40" s="321"/>
      <c r="C40" s="513" t="s">
        <v>633</v>
      </c>
      <c r="D40" s="513"/>
      <c r="E40" s="513"/>
      <c r="F40" s="513"/>
      <c r="G40" s="513"/>
      <c r="H40" s="322"/>
    </row>
    <row r="41" spans="2:8" ht="15.75" thickBot="1">
      <c r="B41" s="323"/>
      <c r="C41" s="324"/>
      <c r="D41" s="324"/>
      <c r="E41" s="324"/>
      <c r="F41" s="324"/>
      <c r="G41" s="324"/>
      <c r="H41" s="325"/>
    </row>
    <row r="42" spans="2:8" ht="15.75" thickTop="1"/>
  </sheetData>
  <mergeCells count="34">
    <mergeCell ref="C24:E24"/>
    <mergeCell ref="C25:E25"/>
    <mergeCell ref="C17:E17"/>
    <mergeCell ref="C18:E18"/>
    <mergeCell ref="C40:G40"/>
    <mergeCell ref="C39:E39"/>
    <mergeCell ref="C29:E29"/>
    <mergeCell ref="B3:H3"/>
    <mergeCell ref="C5:G5"/>
    <mergeCell ref="C36:E36"/>
    <mergeCell ref="C37:E37"/>
    <mergeCell ref="C38:E38"/>
    <mergeCell ref="C20:G20"/>
    <mergeCell ref="C30:E30"/>
    <mergeCell ref="C31:E31"/>
    <mergeCell ref="C32:E32"/>
    <mergeCell ref="C33:E33"/>
    <mergeCell ref="C34:E34"/>
    <mergeCell ref="C35:E35"/>
    <mergeCell ref="C7:G7"/>
    <mergeCell ref="C26:E26"/>
    <mergeCell ref="C27:E27"/>
    <mergeCell ref="C28:E28"/>
    <mergeCell ref="C8:E8"/>
    <mergeCell ref="C21:E22"/>
    <mergeCell ref="C23:E23"/>
    <mergeCell ref="C9:E9"/>
    <mergeCell ref="C10:E10"/>
    <mergeCell ref="C11:E11"/>
    <mergeCell ref="C12:E12"/>
    <mergeCell ref="C13:E13"/>
    <mergeCell ref="C14:E14"/>
    <mergeCell ref="C15:E15"/>
    <mergeCell ref="C16:E1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4">
    <tabColor theme="1"/>
  </sheetPr>
  <dimension ref="A1:AI113"/>
  <sheetViews>
    <sheetView topLeftCell="A2" workbookViewId="0">
      <selection activeCell="Z10" sqref="Z10"/>
    </sheetView>
  </sheetViews>
  <sheetFormatPr baseColWidth="10" defaultRowHeight="15"/>
  <cols>
    <col min="1" max="1" width="14.140625" style="34" bestFit="1" customWidth="1"/>
    <col min="2" max="2" width="6.28515625" style="34" bestFit="1" customWidth="1"/>
    <col min="3" max="3" width="21.42578125" style="34" bestFit="1" customWidth="1"/>
    <col min="4" max="17" width="5.5703125" style="34" bestFit="1" customWidth="1"/>
    <col min="18" max="18" width="29.7109375" style="34" bestFit="1" customWidth="1"/>
    <col min="19" max="19" width="7" style="34" bestFit="1" customWidth="1"/>
    <col min="20" max="20" width="3.7109375" style="36" hidden="1" customWidth="1"/>
    <col min="21" max="21" width="8.7109375" style="7" hidden="1" customWidth="1"/>
    <col min="22" max="22" width="8" style="7" customWidth="1"/>
    <col min="23" max="23" width="12.140625" style="7" hidden="1" customWidth="1"/>
    <col min="24" max="24" width="3.7109375" style="34" hidden="1" customWidth="1"/>
    <col min="25" max="25" width="17.28515625" style="34" bestFit="1" customWidth="1"/>
    <col min="26" max="26" width="18.5703125" style="34" bestFit="1" customWidth="1"/>
    <col min="27" max="27" width="21.28515625" style="34" bestFit="1" customWidth="1"/>
    <col min="28" max="28" width="11.28515625" style="34" bestFit="1" customWidth="1"/>
    <col min="29" max="29" width="24.85546875" style="34" bestFit="1" customWidth="1"/>
    <col min="30" max="30" width="11.7109375" style="34" bestFit="1" customWidth="1"/>
    <col min="31" max="31" width="23.140625" style="34" bestFit="1" customWidth="1"/>
    <col min="32" max="32" width="13.7109375" style="34" bestFit="1" customWidth="1"/>
    <col min="33" max="33" width="29.85546875" style="34" bestFit="1" customWidth="1"/>
    <col min="34" max="34" width="10.7109375" style="34" customWidth="1"/>
    <col min="35" max="35" width="22.5703125" style="34" bestFit="1" customWidth="1"/>
    <col min="36" max="16384" width="11.42578125" style="34"/>
  </cols>
  <sheetData>
    <row r="1" spans="1:35" hidden="1">
      <c r="A1" s="34">
        <v>1</v>
      </c>
      <c r="B1" s="34">
        <v>2</v>
      </c>
      <c r="C1" s="34">
        <v>3</v>
      </c>
      <c r="D1" s="34">
        <v>4</v>
      </c>
      <c r="E1" s="34">
        <v>5</v>
      </c>
      <c r="F1" s="34">
        <v>6</v>
      </c>
      <c r="G1" s="34">
        <v>7</v>
      </c>
      <c r="H1" s="34">
        <v>8</v>
      </c>
      <c r="I1" s="34">
        <v>9</v>
      </c>
      <c r="J1" s="34">
        <f>I1+1</f>
        <v>10</v>
      </c>
      <c r="K1" s="34">
        <f t="shared" ref="K1:W1" si="0">J1+1</f>
        <v>11</v>
      </c>
      <c r="L1" s="34">
        <f t="shared" si="0"/>
        <v>12</v>
      </c>
      <c r="M1" s="34">
        <f t="shared" si="0"/>
        <v>13</v>
      </c>
      <c r="N1" s="34">
        <f t="shared" si="0"/>
        <v>14</v>
      </c>
      <c r="O1" s="34">
        <f t="shared" si="0"/>
        <v>15</v>
      </c>
      <c r="P1" s="34">
        <f t="shared" si="0"/>
        <v>16</v>
      </c>
      <c r="Q1" s="34">
        <f t="shared" si="0"/>
        <v>17</v>
      </c>
      <c r="R1" s="34">
        <f t="shared" si="0"/>
        <v>18</v>
      </c>
      <c r="S1" s="34">
        <f t="shared" si="0"/>
        <v>19</v>
      </c>
      <c r="T1" s="34">
        <f t="shared" si="0"/>
        <v>20</v>
      </c>
      <c r="U1" s="34">
        <f t="shared" si="0"/>
        <v>21</v>
      </c>
      <c r="V1" s="34">
        <f t="shared" si="0"/>
        <v>22</v>
      </c>
      <c r="W1" s="34">
        <f t="shared" si="0"/>
        <v>23</v>
      </c>
      <c r="X1" s="34">
        <f t="shared" ref="X1" si="1">W1+1</f>
        <v>24</v>
      </c>
      <c r="Y1" s="34">
        <f t="shared" ref="Y1" si="2">X1+1</f>
        <v>25</v>
      </c>
      <c r="Z1" s="34">
        <f t="shared" ref="Z1" si="3">Y1+1</f>
        <v>26</v>
      </c>
      <c r="AA1" s="34">
        <f t="shared" ref="AA1" si="4">Z1+1</f>
        <v>27</v>
      </c>
      <c r="AB1" s="34">
        <f t="shared" ref="AB1" si="5">AA1+1</f>
        <v>28</v>
      </c>
      <c r="AC1" s="34">
        <f t="shared" ref="AC1" si="6">AB1+1</f>
        <v>29</v>
      </c>
      <c r="AD1" s="34">
        <f t="shared" ref="AD1" si="7">AC1+1</f>
        <v>30</v>
      </c>
      <c r="AE1" s="34">
        <f t="shared" ref="AE1" si="8">AD1+1</f>
        <v>31</v>
      </c>
      <c r="AF1" s="34">
        <f t="shared" ref="AF1" si="9">AE1+1</f>
        <v>32</v>
      </c>
      <c r="AG1" s="34">
        <f t="shared" ref="AG1" si="10">AF1+1</f>
        <v>33</v>
      </c>
      <c r="AH1" s="34">
        <f t="shared" ref="AH1:AI1" si="11">AG1+1</f>
        <v>34</v>
      </c>
      <c r="AI1" s="34">
        <f t="shared" si="11"/>
        <v>35</v>
      </c>
    </row>
    <row r="2" spans="1:35">
      <c r="A2" s="635" t="s">
        <v>67</v>
      </c>
      <c r="B2" s="635" t="s">
        <v>68</v>
      </c>
      <c r="C2" s="636" t="s">
        <v>69</v>
      </c>
      <c r="D2" s="635" t="s">
        <v>70</v>
      </c>
      <c r="E2" s="635"/>
      <c r="F2" s="635"/>
      <c r="G2" s="635"/>
      <c r="H2" s="635"/>
      <c r="I2" s="635"/>
      <c r="J2" s="635"/>
      <c r="K2" s="635"/>
      <c r="L2" s="635"/>
      <c r="M2" s="635"/>
      <c r="N2" s="635"/>
      <c r="O2" s="635"/>
      <c r="P2" s="635"/>
      <c r="Q2" s="635"/>
      <c r="R2" s="635"/>
      <c r="S2" s="635"/>
      <c r="T2" s="69"/>
      <c r="U2" s="74" t="s">
        <v>497</v>
      </c>
      <c r="V2" s="75"/>
      <c r="W2" s="76"/>
      <c r="Y2" s="150" t="s">
        <v>305</v>
      </c>
      <c r="Z2" s="634" t="s">
        <v>306</v>
      </c>
      <c r="AA2" s="150" t="s">
        <v>307</v>
      </c>
      <c r="AB2" s="635" t="s">
        <v>308</v>
      </c>
      <c r="AC2" s="150" t="s">
        <v>311</v>
      </c>
      <c r="AD2" s="150" t="s">
        <v>312</v>
      </c>
      <c r="AE2" s="150" t="s">
        <v>313</v>
      </c>
      <c r="AF2" s="151" t="s">
        <v>316</v>
      </c>
      <c r="AG2" s="150" t="s">
        <v>73</v>
      </c>
      <c r="AH2" s="64" t="s">
        <v>322</v>
      </c>
      <c r="AI2" s="64" t="s">
        <v>495</v>
      </c>
    </row>
    <row r="3" spans="1:35" ht="17.25">
      <c r="A3" s="635"/>
      <c r="B3" s="635"/>
      <c r="C3" s="636"/>
      <c r="D3" s="637" t="s">
        <v>71</v>
      </c>
      <c r="E3" s="637"/>
      <c r="F3" s="637"/>
      <c r="G3" s="637"/>
      <c r="H3" s="637"/>
      <c r="I3" s="637"/>
      <c r="J3" s="637"/>
      <c r="K3" s="638" t="s">
        <v>72</v>
      </c>
      <c r="L3" s="638"/>
      <c r="M3" s="638"/>
      <c r="N3" s="638"/>
      <c r="O3" s="638"/>
      <c r="P3" s="638"/>
      <c r="Q3" s="638"/>
      <c r="R3" s="45" t="s">
        <v>73</v>
      </c>
      <c r="S3" s="45" t="s">
        <v>74</v>
      </c>
      <c r="T3" s="69"/>
      <c r="U3" s="63" t="s">
        <v>71</v>
      </c>
      <c r="V3" s="63" t="s">
        <v>72</v>
      </c>
      <c r="W3" s="64" t="s">
        <v>496</v>
      </c>
      <c r="X3" s="62"/>
      <c r="Y3" s="149" t="s">
        <v>309</v>
      </c>
      <c r="Z3" s="634"/>
      <c r="AA3" s="149" t="s">
        <v>310</v>
      </c>
      <c r="AB3" s="635"/>
      <c r="AC3" s="149" t="s">
        <v>314</v>
      </c>
      <c r="AD3" s="149" t="s">
        <v>315</v>
      </c>
      <c r="AE3" s="149" t="s">
        <v>309</v>
      </c>
      <c r="AF3" s="145" t="s">
        <v>309</v>
      </c>
      <c r="AG3" s="149" t="s">
        <v>322</v>
      </c>
      <c r="AH3" s="63" t="s">
        <v>323</v>
      </c>
      <c r="AI3" s="63" t="s">
        <v>323</v>
      </c>
    </row>
    <row r="4" spans="1:35">
      <c r="A4" s="9" t="s">
        <v>75</v>
      </c>
      <c r="B4" s="9" t="s">
        <v>76</v>
      </c>
      <c r="C4" s="9" t="s">
        <v>77</v>
      </c>
      <c r="D4" s="47">
        <v>0</v>
      </c>
      <c r="E4" s="47">
        <v>5</v>
      </c>
      <c r="F4" s="47">
        <v>10</v>
      </c>
      <c r="G4" s="47">
        <v>15</v>
      </c>
      <c r="H4" s="47">
        <v>20</v>
      </c>
      <c r="I4" s="47">
        <v>25</v>
      </c>
      <c r="J4" s="47">
        <v>26.53</v>
      </c>
      <c r="K4" s="48">
        <v>12.27</v>
      </c>
      <c r="L4" s="48">
        <v>10.78</v>
      </c>
      <c r="M4" s="48">
        <v>9.3699999999999992</v>
      </c>
      <c r="N4" s="48">
        <v>7.72</v>
      </c>
      <c r="O4" s="48">
        <v>6.07</v>
      </c>
      <c r="P4" s="48">
        <v>3.84</v>
      </c>
      <c r="Q4" s="48">
        <v>3.22</v>
      </c>
      <c r="R4" s="49" t="s">
        <v>185</v>
      </c>
      <c r="S4" s="50">
        <v>0.999</v>
      </c>
      <c r="T4" s="71"/>
      <c r="U4" s="65">
        <f t="shared" ref="U4:U35" si="12">Q</f>
        <v>20</v>
      </c>
      <c r="V4" s="66">
        <f>-0.0033*Q^2-0.2478*Q+12.202</f>
        <v>5.9260000000000002</v>
      </c>
      <c r="W4" s="67" t="str">
        <f t="shared" ref="W4:W35" si="13">IF(AND(V4&gt;H-1,V4&lt;H+1,V4&gt;Q4),"OK","")</f>
        <v/>
      </c>
      <c r="Y4" s="9">
        <v>40</v>
      </c>
      <c r="Z4" s="9" t="s">
        <v>317</v>
      </c>
      <c r="AA4" s="9">
        <v>50</v>
      </c>
      <c r="AB4" s="9" t="s">
        <v>318</v>
      </c>
      <c r="AC4" s="38">
        <v>1.2</v>
      </c>
      <c r="AD4" s="9">
        <v>2900</v>
      </c>
      <c r="AE4" s="9">
        <v>331</v>
      </c>
      <c r="AF4" s="9">
        <v>110</v>
      </c>
      <c r="AG4" s="152" t="s">
        <v>324</v>
      </c>
      <c r="AH4" s="156">
        <f>-0.0437*Q^2+1.7589*Q+33.614</f>
        <v>51.311999999999998</v>
      </c>
      <c r="AI4" s="352">
        <v>3000000</v>
      </c>
    </row>
    <row r="5" spans="1:35">
      <c r="A5" s="9" t="s">
        <v>75</v>
      </c>
      <c r="B5" s="9" t="s">
        <v>76</v>
      </c>
      <c r="C5" s="9" t="s">
        <v>78</v>
      </c>
      <c r="D5" s="47">
        <v>0</v>
      </c>
      <c r="E5" s="47">
        <v>5</v>
      </c>
      <c r="F5" s="47">
        <v>10</v>
      </c>
      <c r="G5" s="47">
        <v>15</v>
      </c>
      <c r="H5" s="47">
        <v>20</v>
      </c>
      <c r="I5" s="47">
        <v>25</v>
      </c>
      <c r="J5" s="47">
        <v>26.53</v>
      </c>
      <c r="K5" s="48">
        <v>12.27</v>
      </c>
      <c r="L5" s="48">
        <v>10.78</v>
      </c>
      <c r="M5" s="48">
        <v>9.3699999999999992</v>
      </c>
      <c r="N5" s="48">
        <v>7.72</v>
      </c>
      <c r="O5" s="48">
        <v>6.07</v>
      </c>
      <c r="P5" s="48">
        <v>3.84</v>
      </c>
      <c r="Q5" s="48">
        <v>3.22</v>
      </c>
      <c r="R5" s="49" t="s">
        <v>185</v>
      </c>
      <c r="S5" s="50">
        <v>0.999</v>
      </c>
      <c r="T5" s="71"/>
      <c r="U5" s="65">
        <f t="shared" si="12"/>
        <v>20</v>
      </c>
      <c r="V5" s="66">
        <f>-0.0033*Q^2-0.2478*Q+12.202</f>
        <v>5.9260000000000002</v>
      </c>
      <c r="W5" s="67" t="str">
        <f t="shared" si="13"/>
        <v/>
      </c>
      <c r="Y5" s="9">
        <v>40</v>
      </c>
      <c r="Z5" s="9" t="s">
        <v>317</v>
      </c>
      <c r="AA5" s="9">
        <v>50</v>
      </c>
      <c r="AB5" s="9" t="s">
        <v>319</v>
      </c>
      <c r="AC5" s="38">
        <v>1.2</v>
      </c>
      <c r="AD5" s="9">
        <v>2900</v>
      </c>
      <c r="AE5" s="9">
        <v>331</v>
      </c>
      <c r="AF5" s="9">
        <v>110</v>
      </c>
      <c r="AG5" s="49" t="s">
        <v>325</v>
      </c>
      <c r="AH5" s="157">
        <f>-0.0507*Q^2+1.8918*Q+38.34</f>
        <v>55.896000000000001</v>
      </c>
      <c r="AI5" s="351">
        <f>AI4+100000</f>
        <v>3100000</v>
      </c>
    </row>
    <row r="6" spans="1:35">
      <c r="A6" s="9" t="s">
        <v>75</v>
      </c>
      <c r="B6" s="9" t="s">
        <v>76</v>
      </c>
      <c r="C6" s="46" t="s">
        <v>79</v>
      </c>
      <c r="D6" s="47">
        <v>0</v>
      </c>
      <c r="E6" s="47">
        <v>5</v>
      </c>
      <c r="F6" s="47">
        <v>10</v>
      </c>
      <c r="G6" s="47">
        <v>15</v>
      </c>
      <c r="H6" s="47">
        <v>20</v>
      </c>
      <c r="I6" s="47">
        <v>25</v>
      </c>
      <c r="J6" s="47">
        <v>30</v>
      </c>
      <c r="K6" s="48">
        <v>16.11</v>
      </c>
      <c r="L6" s="48">
        <v>14.13</v>
      </c>
      <c r="M6" s="48">
        <v>12.4</v>
      </c>
      <c r="N6" s="48">
        <v>10.73</v>
      </c>
      <c r="O6" s="48">
        <v>8.8800000000000008</v>
      </c>
      <c r="P6" s="48">
        <v>6.89</v>
      </c>
      <c r="Q6" s="48">
        <v>5.07</v>
      </c>
      <c r="R6" s="49" t="s">
        <v>186</v>
      </c>
      <c r="S6" s="50">
        <v>0.99960000000000004</v>
      </c>
      <c r="T6" s="71"/>
      <c r="U6" s="65">
        <f t="shared" si="12"/>
        <v>20</v>
      </c>
      <c r="V6" s="66">
        <f>-0.0004*Q^2-0.3529*Q+16.027</f>
        <v>8.8090000000000011</v>
      </c>
      <c r="W6" s="67" t="str">
        <f t="shared" si="13"/>
        <v/>
      </c>
      <c r="Y6" s="9">
        <v>40</v>
      </c>
      <c r="Z6" s="9" t="s">
        <v>317</v>
      </c>
      <c r="AA6" s="9">
        <v>50</v>
      </c>
      <c r="AB6" s="9" t="s">
        <v>319</v>
      </c>
      <c r="AC6" s="38">
        <v>1.7</v>
      </c>
      <c r="AD6" s="9">
        <v>2900</v>
      </c>
      <c r="AE6" s="9">
        <v>331</v>
      </c>
      <c r="AF6" s="9">
        <v>125</v>
      </c>
      <c r="AG6" s="49" t="s">
        <v>326</v>
      </c>
      <c r="AH6" s="157">
        <f>-0.0476*Q^2+1.8571*Q+43.333</f>
        <v>61.434999999999988</v>
      </c>
      <c r="AI6" s="351">
        <f t="shared" ref="AI6:AI69" si="14">AI5+100000</f>
        <v>3200000</v>
      </c>
    </row>
    <row r="7" spans="1:35">
      <c r="A7" s="9" t="s">
        <v>75</v>
      </c>
      <c r="B7" s="9" t="s">
        <v>76</v>
      </c>
      <c r="C7" s="46" t="s">
        <v>80</v>
      </c>
      <c r="D7" s="47">
        <v>0</v>
      </c>
      <c r="E7" s="47">
        <v>5</v>
      </c>
      <c r="F7" s="47">
        <v>10</v>
      </c>
      <c r="G7" s="47">
        <v>15</v>
      </c>
      <c r="H7" s="47">
        <v>20</v>
      </c>
      <c r="I7" s="47">
        <v>25</v>
      </c>
      <c r="J7" s="47">
        <v>35</v>
      </c>
      <c r="K7" s="48">
        <v>21.24</v>
      </c>
      <c r="L7" s="48">
        <v>19.079999999999998</v>
      </c>
      <c r="M7" s="48">
        <v>17.059999999999999</v>
      </c>
      <c r="N7" s="48">
        <v>15.43</v>
      </c>
      <c r="O7" s="48">
        <v>13.65</v>
      </c>
      <c r="P7" s="48">
        <v>11.51</v>
      </c>
      <c r="Q7" s="48">
        <v>6.05</v>
      </c>
      <c r="R7" s="49" t="s">
        <v>187</v>
      </c>
      <c r="S7" s="50">
        <v>0.99670000000000003</v>
      </c>
      <c r="T7" s="71"/>
      <c r="U7" s="65">
        <f t="shared" si="12"/>
        <v>20</v>
      </c>
      <c r="V7" s="66">
        <f>-0.0029*Q^2-0.3178*Q+20.935</f>
        <v>13.418999999999997</v>
      </c>
      <c r="W7" s="67" t="str">
        <f t="shared" si="13"/>
        <v/>
      </c>
      <c r="Y7" s="9">
        <v>40</v>
      </c>
      <c r="Z7" s="9" t="s">
        <v>317</v>
      </c>
      <c r="AA7" s="9">
        <v>50</v>
      </c>
      <c r="AB7" s="9" t="s">
        <v>319</v>
      </c>
      <c r="AC7" s="38">
        <v>2.6</v>
      </c>
      <c r="AD7" s="9">
        <v>2900</v>
      </c>
      <c r="AE7" s="9">
        <v>331</v>
      </c>
      <c r="AF7" s="9">
        <v>142</v>
      </c>
      <c r="AG7" s="49" t="s">
        <v>327</v>
      </c>
      <c r="AH7" s="157">
        <f>-0.0383*Q^2+1.664*Q+48.781</f>
        <v>66.741</v>
      </c>
      <c r="AI7" s="351">
        <f t="shared" si="14"/>
        <v>3300000</v>
      </c>
    </row>
    <row r="8" spans="1:35">
      <c r="A8" s="9" t="s">
        <v>75</v>
      </c>
      <c r="B8" s="9" t="s">
        <v>76</v>
      </c>
      <c r="C8" s="46" t="s">
        <v>81</v>
      </c>
      <c r="D8" s="47">
        <v>0</v>
      </c>
      <c r="E8" s="47">
        <v>8.1199999999999992</v>
      </c>
      <c r="F8" s="47">
        <v>15</v>
      </c>
      <c r="G8" s="47">
        <v>20</v>
      </c>
      <c r="H8" s="47">
        <v>25</v>
      </c>
      <c r="I8" s="47">
        <v>30</v>
      </c>
      <c r="J8" s="47">
        <v>35</v>
      </c>
      <c r="K8" s="48">
        <v>5.36</v>
      </c>
      <c r="L8" s="48">
        <v>4.51</v>
      </c>
      <c r="M8" s="48">
        <v>3.58</v>
      </c>
      <c r="N8" s="48">
        <v>2.97</v>
      </c>
      <c r="O8" s="48">
        <v>2.36</v>
      </c>
      <c r="P8" s="48">
        <v>1.87</v>
      </c>
      <c r="Q8" s="48">
        <v>1.3</v>
      </c>
      <c r="R8" s="49" t="s">
        <v>188</v>
      </c>
      <c r="S8" s="50">
        <v>0.99870000000000003</v>
      </c>
      <c r="T8" s="71"/>
      <c r="U8" s="65">
        <f t="shared" si="12"/>
        <v>20</v>
      </c>
      <c r="V8" s="66">
        <f>0.0002*Q^2-0.1239*Q+5.4062</f>
        <v>3.0082000000000004</v>
      </c>
      <c r="W8" s="67" t="str">
        <f t="shared" si="13"/>
        <v/>
      </c>
      <c r="Y8" s="9">
        <v>60</v>
      </c>
      <c r="Z8" s="9" t="s">
        <v>320</v>
      </c>
      <c r="AA8" s="9">
        <v>65</v>
      </c>
      <c r="AB8" s="9" t="s">
        <v>318</v>
      </c>
      <c r="AC8" s="38">
        <v>1</v>
      </c>
      <c r="AD8" s="9">
        <v>1450</v>
      </c>
      <c r="AE8" s="9">
        <v>348</v>
      </c>
      <c r="AF8" s="9">
        <v>130</v>
      </c>
      <c r="AG8" s="49" t="s">
        <v>328</v>
      </c>
      <c r="AH8" s="157">
        <f>-0.0283*Q^2+1.3957*Q+53.084</f>
        <v>69.677999999999997</v>
      </c>
      <c r="AI8" s="351">
        <f t="shared" si="14"/>
        <v>3400000</v>
      </c>
    </row>
    <row r="9" spans="1:35">
      <c r="A9" s="9" t="s">
        <v>75</v>
      </c>
      <c r="B9" s="9" t="s">
        <v>76</v>
      </c>
      <c r="C9" s="46" t="s">
        <v>81</v>
      </c>
      <c r="D9" s="47">
        <v>0</v>
      </c>
      <c r="E9" s="47">
        <v>8.1199999999999992</v>
      </c>
      <c r="F9" s="47">
        <v>20</v>
      </c>
      <c r="G9" s="47">
        <v>30</v>
      </c>
      <c r="H9" s="47">
        <v>40</v>
      </c>
      <c r="I9" s="47">
        <v>50</v>
      </c>
      <c r="J9" s="47">
        <v>53.9</v>
      </c>
      <c r="K9" s="48">
        <v>7.79</v>
      </c>
      <c r="L9" s="48">
        <v>6.88</v>
      </c>
      <c r="M9" s="48">
        <v>5.56</v>
      </c>
      <c r="N9" s="48">
        <v>4.63</v>
      </c>
      <c r="O9" s="48">
        <v>3.57</v>
      </c>
      <c r="P9" s="48">
        <v>2.4700000000000002</v>
      </c>
      <c r="Q9" s="48">
        <v>1.97</v>
      </c>
      <c r="R9" s="49" t="s">
        <v>189</v>
      </c>
      <c r="S9" s="50">
        <v>0.99939999999999996</v>
      </c>
      <c r="T9" s="71"/>
      <c r="U9" s="65">
        <f t="shared" si="12"/>
        <v>20</v>
      </c>
      <c r="V9" s="66">
        <f>-0.00003*Q^2-0.1047*Q+7.7531</f>
        <v>5.6471</v>
      </c>
      <c r="W9" s="67" t="str">
        <f t="shared" si="13"/>
        <v/>
      </c>
      <c r="Y9" s="9">
        <v>60</v>
      </c>
      <c r="Z9" s="9" t="s">
        <v>320</v>
      </c>
      <c r="AA9" s="9">
        <v>65</v>
      </c>
      <c r="AB9" s="9" t="s">
        <v>318</v>
      </c>
      <c r="AC9" s="38">
        <v>1</v>
      </c>
      <c r="AD9" s="9">
        <v>1450</v>
      </c>
      <c r="AE9" s="9">
        <v>348</v>
      </c>
      <c r="AF9" s="9">
        <v>160</v>
      </c>
      <c r="AG9" s="49" t="s">
        <v>329</v>
      </c>
      <c r="AH9" s="157">
        <f>-0.011*Q^2+0.8783*Q+34.006</f>
        <v>47.171999999999997</v>
      </c>
      <c r="AI9" s="351">
        <f t="shared" si="14"/>
        <v>3500000</v>
      </c>
    </row>
    <row r="10" spans="1:35">
      <c r="A10" s="9" t="s">
        <v>75</v>
      </c>
      <c r="B10" s="9" t="s">
        <v>76</v>
      </c>
      <c r="C10" s="46" t="s">
        <v>82</v>
      </c>
      <c r="D10" s="47">
        <v>0</v>
      </c>
      <c r="E10" s="47">
        <v>8.1199999999999992</v>
      </c>
      <c r="F10" s="47">
        <v>15</v>
      </c>
      <c r="G10" s="47">
        <v>20</v>
      </c>
      <c r="H10" s="47">
        <v>25</v>
      </c>
      <c r="I10" s="47">
        <v>30</v>
      </c>
      <c r="J10" s="47">
        <v>35</v>
      </c>
      <c r="K10" s="48">
        <v>5.36</v>
      </c>
      <c r="L10" s="48">
        <v>4.51</v>
      </c>
      <c r="M10" s="48">
        <v>3.58</v>
      </c>
      <c r="N10" s="48">
        <v>2.97</v>
      </c>
      <c r="O10" s="48">
        <v>2.36</v>
      </c>
      <c r="P10" s="48">
        <v>1.87</v>
      </c>
      <c r="Q10" s="48">
        <v>1.3</v>
      </c>
      <c r="R10" s="49" t="s">
        <v>188</v>
      </c>
      <c r="S10" s="50">
        <v>0.99870000000000003</v>
      </c>
      <c r="T10" s="71"/>
      <c r="U10" s="65">
        <f t="shared" si="12"/>
        <v>20</v>
      </c>
      <c r="V10" s="66">
        <f>0.0002*Q^2-0.1239*Q+5.4062</f>
        <v>3.0082000000000004</v>
      </c>
      <c r="W10" s="67" t="str">
        <f t="shared" si="13"/>
        <v/>
      </c>
      <c r="Y10" s="9">
        <v>60</v>
      </c>
      <c r="Z10" s="9" t="s">
        <v>320</v>
      </c>
      <c r="AA10" s="9">
        <v>65</v>
      </c>
      <c r="AB10" s="9" t="s">
        <v>319</v>
      </c>
      <c r="AC10" s="38">
        <v>1.3</v>
      </c>
      <c r="AD10" s="9">
        <v>1450</v>
      </c>
      <c r="AE10" s="9">
        <v>348</v>
      </c>
      <c r="AF10" s="9">
        <v>130</v>
      </c>
      <c r="AG10" s="49" t="s">
        <v>330</v>
      </c>
      <c r="AH10" s="157">
        <f>-0.0283*Q^2+1.3957*Q+38.084</f>
        <v>54.677999999999997</v>
      </c>
      <c r="AI10" s="351">
        <f t="shared" si="14"/>
        <v>3600000</v>
      </c>
    </row>
    <row r="11" spans="1:35">
      <c r="A11" s="9" t="s">
        <v>75</v>
      </c>
      <c r="B11" s="9" t="s">
        <v>76</v>
      </c>
      <c r="C11" s="46" t="s">
        <v>82</v>
      </c>
      <c r="D11" s="47">
        <v>0</v>
      </c>
      <c r="E11" s="47">
        <v>8.1199999999999992</v>
      </c>
      <c r="F11" s="47">
        <v>20</v>
      </c>
      <c r="G11" s="47">
        <v>30</v>
      </c>
      <c r="H11" s="47">
        <v>40</v>
      </c>
      <c r="I11" s="47">
        <v>50</v>
      </c>
      <c r="J11" s="47">
        <v>53.9</v>
      </c>
      <c r="K11" s="48">
        <v>7.79</v>
      </c>
      <c r="L11" s="48">
        <v>6.88</v>
      </c>
      <c r="M11" s="48">
        <v>5.56</v>
      </c>
      <c r="N11" s="48">
        <v>4.63</v>
      </c>
      <c r="O11" s="48">
        <v>3.57</v>
      </c>
      <c r="P11" s="48">
        <v>2.4700000000000002</v>
      </c>
      <c r="Q11" s="48">
        <v>1.97</v>
      </c>
      <c r="R11" s="49" t="s">
        <v>189</v>
      </c>
      <c r="S11" s="50">
        <v>0.99939999999999996</v>
      </c>
      <c r="T11" s="71"/>
      <c r="U11" s="65">
        <f t="shared" si="12"/>
        <v>20</v>
      </c>
      <c r="V11" s="66">
        <f>-0.00003*Q^2-0.1047*Q+7.7531</f>
        <v>5.6471</v>
      </c>
      <c r="W11" s="67" t="str">
        <f t="shared" si="13"/>
        <v/>
      </c>
      <c r="Y11" s="9">
        <v>60</v>
      </c>
      <c r="Z11" s="9" t="s">
        <v>320</v>
      </c>
      <c r="AA11" s="9">
        <v>65</v>
      </c>
      <c r="AB11" s="9" t="s">
        <v>319</v>
      </c>
      <c r="AC11" s="38">
        <v>1.3</v>
      </c>
      <c r="AD11" s="9">
        <v>1450</v>
      </c>
      <c r="AE11" s="9">
        <v>348</v>
      </c>
      <c r="AF11" s="9">
        <v>160</v>
      </c>
      <c r="AG11" s="49" t="s">
        <v>331</v>
      </c>
      <c r="AH11" s="157">
        <f>-0.0129*Q^2+0.9487*Q+43.723</f>
        <v>57.536999999999999</v>
      </c>
      <c r="AI11" s="351">
        <f t="shared" si="14"/>
        <v>3700000</v>
      </c>
    </row>
    <row r="12" spans="1:35">
      <c r="A12" s="9" t="s">
        <v>75</v>
      </c>
      <c r="B12" s="9" t="s">
        <v>76</v>
      </c>
      <c r="C12" s="46" t="s">
        <v>82</v>
      </c>
      <c r="D12" s="47">
        <v>0</v>
      </c>
      <c r="E12" s="47">
        <v>8.1199999999999992</v>
      </c>
      <c r="F12" s="47">
        <v>15</v>
      </c>
      <c r="G12" s="47">
        <v>25</v>
      </c>
      <c r="H12" s="47">
        <v>30</v>
      </c>
      <c r="I12" s="47">
        <v>35</v>
      </c>
      <c r="J12" s="47">
        <v>46.04</v>
      </c>
      <c r="K12" s="48">
        <v>9.83</v>
      </c>
      <c r="L12" s="48">
        <v>8.8699999999999992</v>
      </c>
      <c r="M12" s="48">
        <v>8.08</v>
      </c>
      <c r="N12" s="48">
        <v>6.96</v>
      </c>
      <c r="O12" s="48">
        <v>6.41</v>
      </c>
      <c r="P12" s="48">
        <v>5.71</v>
      </c>
      <c r="Q12" s="48">
        <v>4.3899999999999997</v>
      </c>
      <c r="R12" s="49" t="s">
        <v>190</v>
      </c>
      <c r="S12" s="50">
        <v>0.99960000000000004</v>
      </c>
      <c r="T12" s="71"/>
      <c r="U12" s="65">
        <f t="shared" si="12"/>
        <v>20</v>
      </c>
      <c r="V12" s="66">
        <f>-0.0001*Q^2-0.1108*Q+9.8063</f>
        <v>7.5503</v>
      </c>
      <c r="W12" s="67" t="str">
        <f t="shared" si="13"/>
        <v>OK</v>
      </c>
      <c r="Y12" s="9">
        <v>60</v>
      </c>
      <c r="Z12" s="9" t="s">
        <v>320</v>
      </c>
      <c r="AA12" s="9">
        <v>65</v>
      </c>
      <c r="AB12" s="9" t="s">
        <v>319</v>
      </c>
      <c r="AC12" s="38">
        <v>1.3</v>
      </c>
      <c r="AD12" s="9">
        <v>1450</v>
      </c>
      <c r="AE12" s="9">
        <v>348</v>
      </c>
      <c r="AF12" s="9">
        <v>186</v>
      </c>
      <c r="AG12" s="49" t="s">
        <v>332</v>
      </c>
      <c r="AH12" s="157">
        <f>-0.0199*Q^2+1.1872*Q+48.375</f>
        <v>64.158999999999992</v>
      </c>
      <c r="AI12" s="351">
        <f t="shared" si="14"/>
        <v>3800000</v>
      </c>
    </row>
    <row r="13" spans="1:35">
      <c r="A13" s="9" t="s">
        <v>75</v>
      </c>
      <c r="B13" s="9" t="s">
        <v>76</v>
      </c>
      <c r="C13" s="46" t="s">
        <v>83</v>
      </c>
      <c r="D13" s="47">
        <v>0</v>
      </c>
      <c r="E13" s="47">
        <v>8.1199999999999992</v>
      </c>
      <c r="F13" s="47">
        <v>25</v>
      </c>
      <c r="G13" s="47">
        <v>35</v>
      </c>
      <c r="H13" s="47">
        <v>50</v>
      </c>
      <c r="I13" s="47">
        <v>60</v>
      </c>
      <c r="J13" s="47">
        <v>69.09</v>
      </c>
      <c r="K13" s="48">
        <v>11.39</v>
      </c>
      <c r="L13" s="48">
        <v>10.51</v>
      </c>
      <c r="M13" s="48">
        <v>9.08</v>
      </c>
      <c r="N13" s="48">
        <v>8.0399999999999991</v>
      </c>
      <c r="O13" s="48">
        <v>6.37</v>
      </c>
      <c r="P13" s="48">
        <v>5.09</v>
      </c>
      <c r="Q13" s="48">
        <v>4</v>
      </c>
      <c r="R13" s="49" t="s">
        <v>191</v>
      </c>
      <c r="S13" s="50">
        <v>0.99950000000000006</v>
      </c>
      <c r="T13" s="71"/>
      <c r="U13" s="65">
        <f t="shared" si="12"/>
        <v>20</v>
      </c>
      <c r="V13" s="66">
        <f>-0.0003*Q^2-0.082*Q+11.317</f>
        <v>9.5570000000000004</v>
      </c>
      <c r="W13" s="67" t="str">
        <f t="shared" si="13"/>
        <v/>
      </c>
      <c r="Y13" s="9">
        <v>60</v>
      </c>
      <c r="Z13" s="9" t="s">
        <v>320</v>
      </c>
      <c r="AA13" s="9">
        <v>65</v>
      </c>
      <c r="AB13" s="9" t="s">
        <v>319</v>
      </c>
      <c r="AC13" s="38">
        <v>2.2000000000000002</v>
      </c>
      <c r="AD13" s="9">
        <v>1450</v>
      </c>
      <c r="AE13" s="9">
        <v>348</v>
      </c>
      <c r="AF13" s="9">
        <v>205</v>
      </c>
      <c r="AG13" s="49" t="s">
        <v>333</v>
      </c>
      <c r="AH13" s="157">
        <f>-0.0084*Q^2+0.7623*Q+54.138</f>
        <v>66.024000000000001</v>
      </c>
      <c r="AI13" s="351">
        <f t="shared" si="14"/>
        <v>3900000</v>
      </c>
    </row>
    <row r="14" spans="1:35">
      <c r="A14" s="9" t="s">
        <v>75</v>
      </c>
      <c r="B14" s="9" t="s">
        <v>76</v>
      </c>
      <c r="C14" s="46" t="s">
        <v>84</v>
      </c>
      <c r="D14" s="47">
        <v>0</v>
      </c>
      <c r="E14" s="47">
        <v>8.86</v>
      </c>
      <c r="F14" s="47">
        <v>15</v>
      </c>
      <c r="G14" s="47">
        <v>20</v>
      </c>
      <c r="H14" s="47">
        <v>30</v>
      </c>
      <c r="I14" s="47">
        <v>35</v>
      </c>
      <c r="J14" s="47">
        <v>40.29</v>
      </c>
      <c r="K14" s="48">
        <v>12.46</v>
      </c>
      <c r="L14" s="48">
        <v>11.21</v>
      </c>
      <c r="M14" s="48">
        <v>9.5399999999999991</v>
      </c>
      <c r="N14" s="48">
        <v>8.18</v>
      </c>
      <c r="O14" s="48">
        <v>4.93</v>
      </c>
      <c r="P14" s="48">
        <v>2.75</v>
      </c>
      <c r="Q14" s="48">
        <v>0.52</v>
      </c>
      <c r="R14" s="49" t="s">
        <v>192</v>
      </c>
      <c r="S14" s="50">
        <v>0.99950000000000006</v>
      </c>
      <c r="T14" s="71"/>
      <c r="U14" s="65">
        <f t="shared" si="12"/>
        <v>20</v>
      </c>
      <c r="V14" s="66">
        <f>-0.0042*Q^2-0.1302*Q+12.52</f>
        <v>8.2360000000000007</v>
      </c>
      <c r="W14" s="67" t="str">
        <f t="shared" si="13"/>
        <v/>
      </c>
      <c r="Y14" s="9">
        <v>40</v>
      </c>
      <c r="Z14" s="9" t="s">
        <v>320</v>
      </c>
      <c r="AA14" s="9">
        <v>65</v>
      </c>
      <c r="AB14" s="9" t="s">
        <v>318</v>
      </c>
      <c r="AC14" s="38">
        <v>1.2</v>
      </c>
      <c r="AD14" s="9">
        <v>2900</v>
      </c>
      <c r="AE14" s="9">
        <v>346</v>
      </c>
      <c r="AF14" s="9">
        <v>128</v>
      </c>
      <c r="AG14" s="49" t="s">
        <v>334</v>
      </c>
      <c r="AH14" s="157">
        <f>-0.0197*Q^2+1.1895*Q+33.326</f>
        <v>49.236000000000004</v>
      </c>
      <c r="AI14" s="351">
        <f t="shared" si="14"/>
        <v>4000000</v>
      </c>
    </row>
    <row r="15" spans="1:35">
      <c r="A15" s="9" t="s">
        <v>75</v>
      </c>
      <c r="B15" s="9" t="s">
        <v>76</v>
      </c>
      <c r="C15" s="46" t="s">
        <v>85</v>
      </c>
      <c r="D15" s="47">
        <v>0</v>
      </c>
      <c r="E15" s="47">
        <v>8.86</v>
      </c>
      <c r="F15" s="47">
        <v>15</v>
      </c>
      <c r="G15" s="47">
        <v>20</v>
      </c>
      <c r="H15" s="47">
        <v>30</v>
      </c>
      <c r="I15" s="47">
        <v>35</v>
      </c>
      <c r="J15" s="47">
        <v>40.29</v>
      </c>
      <c r="K15" s="48">
        <v>12.46</v>
      </c>
      <c r="L15" s="48">
        <v>11.21</v>
      </c>
      <c r="M15" s="48">
        <v>9.5399999999999991</v>
      </c>
      <c r="N15" s="48">
        <v>8.18</v>
      </c>
      <c r="O15" s="48">
        <v>4.93</v>
      </c>
      <c r="P15" s="48">
        <v>2.75</v>
      </c>
      <c r="Q15" s="48">
        <v>0.52</v>
      </c>
      <c r="R15" s="49" t="s">
        <v>192</v>
      </c>
      <c r="S15" s="50">
        <v>0.99950000000000006</v>
      </c>
      <c r="T15" s="71"/>
      <c r="U15" s="65">
        <f t="shared" si="12"/>
        <v>20</v>
      </c>
      <c r="V15" s="66">
        <f>-0.0042*Q^2-0.1302*Q+12.52</f>
        <v>8.2360000000000007</v>
      </c>
      <c r="W15" s="67" t="str">
        <f t="shared" si="13"/>
        <v/>
      </c>
      <c r="Y15" s="9">
        <v>40</v>
      </c>
      <c r="Z15" s="9" t="s">
        <v>320</v>
      </c>
      <c r="AA15" s="9">
        <v>65</v>
      </c>
      <c r="AB15" s="9" t="s">
        <v>319</v>
      </c>
      <c r="AC15" s="38">
        <v>1.2</v>
      </c>
      <c r="AD15" s="9">
        <v>2900</v>
      </c>
      <c r="AE15" s="9">
        <v>346</v>
      </c>
      <c r="AF15" s="9">
        <v>128</v>
      </c>
      <c r="AG15" s="49" t="s">
        <v>335</v>
      </c>
      <c r="AH15" s="157">
        <f>-0.0234*Q^2+1.2956*Q+37.965</f>
        <v>54.51700000000001</v>
      </c>
      <c r="AI15" s="351">
        <f t="shared" si="14"/>
        <v>4100000</v>
      </c>
    </row>
    <row r="16" spans="1:35">
      <c r="A16" s="9" t="s">
        <v>75</v>
      </c>
      <c r="B16" s="9" t="s">
        <v>76</v>
      </c>
      <c r="C16" s="46" t="s">
        <v>86</v>
      </c>
      <c r="D16" s="47">
        <v>0</v>
      </c>
      <c r="E16" s="47">
        <v>8.58</v>
      </c>
      <c r="F16" s="47">
        <v>15</v>
      </c>
      <c r="G16" s="47">
        <v>25</v>
      </c>
      <c r="H16" s="47">
        <v>35</v>
      </c>
      <c r="I16" s="47">
        <v>45</v>
      </c>
      <c r="J16" s="47">
        <v>52.26</v>
      </c>
      <c r="K16" s="48">
        <v>17.149999999999999</v>
      </c>
      <c r="L16" s="48">
        <v>15.15</v>
      </c>
      <c r="M16" s="48">
        <v>13.26</v>
      </c>
      <c r="N16" s="48">
        <v>10.23</v>
      </c>
      <c r="O16" s="48">
        <v>7.13</v>
      </c>
      <c r="P16" s="48">
        <v>3.82</v>
      </c>
      <c r="Q16" s="48">
        <v>1.27</v>
      </c>
      <c r="R16" s="49" t="s">
        <v>193</v>
      </c>
      <c r="S16" s="50">
        <v>0.99980000000000002</v>
      </c>
      <c r="T16" s="71"/>
      <c r="U16" s="65">
        <f t="shared" si="12"/>
        <v>20</v>
      </c>
      <c r="V16" s="66">
        <f>-0.001*Q^2-0.2513*Q+17.239</f>
        <v>11.812999999999999</v>
      </c>
      <c r="W16" s="67" t="str">
        <f t="shared" si="13"/>
        <v/>
      </c>
      <c r="Y16" s="9">
        <v>40</v>
      </c>
      <c r="Z16" s="9" t="s">
        <v>320</v>
      </c>
      <c r="AA16" s="9">
        <v>65</v>
      </c>
      <c r="AB16" s="9" t="s">
        <v>318</v>
      </c>
      <c r="AC16" s="38">
        <v>1.65</v>
      </c>
      <c r="AD16" s="9">
        <v>2900</v>
      </c>
      <c r="AE16" s="9">
        <v>346</v>
      </c>
      <c r="AF16" s="9">
        <v>142</v>
      </c>
      <c r="AG16" s="49" t="s">
        <v>336</v>
      </c>
      <c r="AH16" s="157">
        <f>-0.0166*Q^2+1.1161*Q+43.302</f>
        <v>58.984000000000002</v>
      </c>
      <c r="AI16" s="351">
        <f t="shared" si="14"/>
        <v>4200000</v>
      </c>
    </row>
    <row r="17" spans="1:35">
      <c r="A17" s="9" t="s">
        <v>75</v>
      </c>
      <c r="B17" s="9" t="s">
        <v>76</v>
      </c>
      <c r="C17" s="46" t="s">
        <v>87</v>
      </c>
      <c r="D17" s="47">
        <v>0</v>
      </c>
      <c r="E17" s="47">
        <v>8.58</v>
      </c>
      <c r="F17" s="47">
        <v>15</v>
      </c>
      <c r="G17" s="47">
        <v>25</v>
      </c>
      <c r="H17" s="47">
        <v>35</v>
      </c>
      <c r="I17" s="47">
        <v>45</v>
      </c>
      <c r="J17" s="47">
        <v>52.26</v>
      </c>
      <c r="K17" s="48">
        <v>17.149999999999999</v>
      </c>
      <c r="L17" s="48">
        <v>15.15</v>
      </c>
      <c r="M17" s="48">
        <v>13.26</v>
      </c>
      <c r="N17" s="48">
        <v>10.23</v>
      </c>
      <c r="O17" s="48">
        <v>7.13</v>
      </c>
      <c r="P17" s="48">
        <v>3.82</v>
      </c>
      <c r="Q17" s="48">
        <v>1.27</v>
      </c>
      <c r="R17" s="49" t="s">
        <v>193</v>
      </c>
      <c r="S17" s="50">
        <v>0.99980000000000002</v>
      </c>
      <c r="T17" s="71"/>
      <c r="U17" s="65">
        <f t="shared" si="12"/>
        <v>20</v>
      </c>
      <c r="V17" s="66">
        <f>-0.001*Q^2-0.2513*Q+17.239</f>
        <v>11.812999999999999</v>
      </c>
      <c r="W17" s="67" t="str">
        <f t="shared" si="13"/>
        <v/>
      </c>
      <c r="Y17" s="9">
        <v>40</v>
      </c>
      <c r="Z17" s="9" t="s">
        <v>320</v>
      </c>
      <c r="AA17" s="9">
        <v>65</v>
      </c>
      <c r="AB17" s="9" t="s">
        <v>319</v>
      </c>
      <c r="AC17" s="38">
        <v>1.7</v>
      </c>
      <c r="AD17" s="9">
        <v>2900</v>
      </c>
      <c r="AE17" s="9">
        <v>346</v>
      </c>
      <c r="AF17" s="9">
        <v>142</v>
      </c>
      <c r="AG17" s="49" t="s">
        <v>337</v>
      </c>
      <c r="AH17" s="157">
        <f>-0.0166*Q^2+1.1161*Q+48.302</f>
        <v>63.984000000000002</v>
      </c>
      <c r="AI17" s="351">
        <f t="shared" si="14"/>
        <v>4300000</v>
      </c>
    </row>
    <row r="18" spans="1:35">
      <c r="A18" s="9" t="s">
        <v>75</v>
      </c>
      <c r="B18" s="9" t="s">
        <v>76</v>
      </c>
      <c r="C18" s="46" t="s">
        <v>88</v>
      </c>
      <c r="D18" s="47">
        <v>0</v>
      </c>
      <c r="E18" s="47">
        <v>9.07</v>
      </c>
      <c r="F18" s="47">
        <v>20</v>
      </c>
      <c r="G18" s="47">
        <v>40</v>
      </c>
      <c r="H18" s="47">
        <v>50</v>
      </c>
      <c r="I18" s="47">
        <v>60</v>
      </c>
      <c r="J18" s="47">
        <v>68.34</v>
      </c>
      <c r="K18" s="48">
        <v>22.27</v>
      </c>
      <c r="L18" s="48">
        <v>19.8</v>
      </c>
      <c r="M18" s="48">
        <v>16.149999999999999</v>
      </c>
      <c r="N18" s="48">
        <v>10.34</v>
      </c>
      <c r="O18" s="48">
        <v>7</v>
      </c>
      <c r="P18" s="48">
        <v>3.87</v>
      </c>
      <c r="Q18" s="48">
        <v>1.21</v>
      </c>
      <c r="R18" s="49" t="s">
        <v>194</v>
      </c>
      <c r="S18" s="50">
        <v>0.99980000000000002</v>
      </c>
      <c r="T18" s="71"/>
      <c r="U18" s="65">
        <f t="shared" si="12"/>
        <v>20</v>
      </c>
      <c r="V18" s="66">
        <f>-0.0002*Q^2-0.2946*Q+22.32</f>
        <v>16.347999999999999</v>
      </c>
      <c r="W18" s="67" t="str">
        <f t="shared" si="13"/>
        <v/>
      </c>
      <c r="Y18" s="9">
        <v>40</v>
      </c>
      <c r="Z18" s="9" t="s">
        <v>320</v>
      </c>
      <c r="AA18" s="9">
        <v>65</v>
      </c>
      <c r="AB18" s="9" t="s">
        <v>319</v>
      </c>
      <c r="AC18" s="38">
        <v>3</v>
      </c>
      <c r="AD18" s="9">
        <v>2900</v>
      </c>
      <c r="AE18" s="9">
        <v>346</v>
      </c>
      <c r="AF18" s="9">
        <v>151</v>
      </c>
      <c r="AG18" s="49" t="s">
        <v>338</v>
      </c>
      <c r="AH18" s="157">
        <f>-0.0091*Q^2+0.806*Q+53.919</f>
        <v>66.399000000000001</v>
      </c>
      <c r="AI18" s="351">
        <f t="shared" si="14"/>
        <v>4400000</v>
      </c>
    </row>
    <row r="19" spans="1:35">
      <c r="A19" s="9" t="s">
        <v>75</v>
      </c>
      <c r="B19" s="9" t="s">
        <v>76</v>
      </c>
      <c r="C19" s="46" t="s">
        <v>89</v>
      </c>
      <c r="D19" s="47">
        <v>0</v>
      </c>
      <c r="E19" s="47">
        <v>9.0399999999999991</v>
      </c>
      <c r="F19" s="47">
        <v>20</v>
      </c>
      <c r="G19" s="47">
        <v>30</v>
      </c>
      <c r="H19" s="47">
        <v>40</v>
      </c>
      <c r="I19" s="47">
        <v>60</v>
      </c>
      <c r="J19" s="47">
        <v>69.42</v>
      </c>
      <c r="K19" s="48">
        <v>28.07</v>
      </c>
      <c r="L19" s="48">
        <v>24.83</v>
      </c>
      <c r="M19" s="48">
        <v>21.09</v>
      </c>
      <c r="N19" s="48">
        <v>17.93</v>
      </c>
      <c r="O19" s="48">
        <v>14.14</v>
      </c>
      <c r="P19" s="48">
        <v>7.14</v>
      </c>
      <c r="Q19" s="48">
        <v>3.6</v>
      </c>
      <c r="R19" s="49" t="s">
        <v>195</v>
      </c>
      <c r="S19" s="50">
        <v>0.99980000000000002</v>
      </c>
      <c r="T19" s="71"/>
      <c r="U19" s="65">
        <f t="shared" si="12"/>
        <v>20</v>
      </c>
      <c r="V19" s="66">
        <f>-0.0002*Q^2-0.3348*Q+27.983</f>
        <v>21.207000000000001</v>
      </c>
      <c r="W19" s="67" t="str">
        <f t="shared" si="13"/>
        <v/>
      </c>
      <c r="Y19" s="9">
        <v>45</v>
      </c>
      <c r="Z19" s="9" t="s">
        <v>320</v>
      </c>
      <c r="AA19" s="9">
        <v>65</v>
      </c>
      <c r="AB19" s="9" t="s">
        <v>319</v>
      </c>
      <c r="AC19" s="38">
        <v>3</v>
      </c>
      <c r="AD19" s="9">
        <v>2900</v>
      </c>
      <c r="AE19" s="9">
        <v>346</v>
      </c>
      <c r="AF19" s="9">
        <v>143</v>
      </c>
      <c r="AG19" s="49" t="s">
        <v>339</v>
      </c>
      <c r="AH19" s="157">
        <f>-0.0088*Q^2+0.8124*Q+33.987</f>
        <v>46.715000000000003</v>
      </c>
      <c r="AI19" s="351">
        <f t="shared" si="14"/>
        <v>4500000</v>
      </c>
    </row>
    <row r="20" spans="1:35">
      <c r="A20" s="9" t="s">
        <v>75</v>
      </c>
      <c r="B20" s="9" t="s">
        <v>76</v>
      </c>
      <c r="C20" s="46" t="s">
        <v>90</v>
      </c>
      <c r="D20" s="47">
        <v>0</v>
      </c>
      <c r="E20" s="47">
        <v>8.1199999999999992</v>
      </c>
      <c r="F20" s="47">
        <v>15</v>
      </c>
      <c r="G20" s="47">
        <v>20</v>
      </c>
      <c r="H20" s="47">
        <v>25</v>
      </c>
      <c r="I20" s="47">
        <v>30</v>
      </c>
      <c r="J20" s="47">
        <v>35</v>
      </c>
      <c r="K20" s="48">
        <v>5.36</v>
      </c>
      <c r="L20" s="48">
        <v>4.51</v>
      </c>
      <c r="M20" s="48">
        <v>3.58</v>
      </c>
      <c r="N20" s="48">
        <v>2.97</v>
      </c>
      <c r="O20" s="48">
        <v>2.36</v>
      </c>
      <c r="P20" s="48">
        <v>1.87</v>
      </c>
      <c r="Q20" s="48">
        <v>1.3</v>
      </c>
      <c r="R20" s="49" t="s">
        <v>188</v>
      </c>
      <c r="S20" s="50">
        <v>0.99870000000000003</v>
      </c>
      <c r="T20" s="71"/>
      <c r="U20" s="65">
        <f t="shared" si="12"/>
        <v>20</v>
      </c>
      <c r="V20" s="66">
        <f>0.0002*Q^2-0.1239*Q+5.4062</f>
        <v>3.0082000000000004</v>
      </c>
      <c r="W20" s="67" t="str">
        <f t="shared" si="13"/>
        <v/>
      </c>
      <c r="Y20" s="9">
        <v>60</v>
      </c>
      <c r="Z20" s="9" t="s">
        <v>320</v>
      </c>
      <c r="AA20" s="9">
        <v>80</v>
      </c>
      <c r="AB20" s="9" t="s">
        <v>318</v>
      </c>
      <c r="AC20" s="38">
        <v>1</v>
      </c>
      <c r="AD20" s="9">
        <v>1450</v>
      </c>
      <c r="AE20" s="9">
        <v>305</v>
      </c>
      <c r="AF20" s="9">
        <v>130</v>
      </c>
      <c r="AG20" s="49" t="s">
        <v>330</v>
      </c>
      <c r="AH20" s="157">
        <f>-0.0283*Q^2+1.3957*Q+38.084</f>
        <v>54.677999999999997</v>
      </c>
      <c r="AI20" s="351">
        <f t="shared" si="14"/>
        <v>4600000</v>
      </c>
    </row>
    <row r="21" spans="1:35">
      <c r="A21" s="9" t="s">
        <v>75</v>
      </c>
      <c r="B21" s="9" t="s">
        <v>76</v>
      </c>
      <c r="C21" s="46" t="s">
        <v>90</v>
      </c>
      <c r="D21" s="47">
        <v>0</v>
      </c>
      <c r="E21" s="47">
        <v>8.1199999999999992</v>
      </c>
      <c r="F21" s="47">
        <v>20</v>
      </c>
      <c r="G21" s="47">
        <v>30</v>
      </c>
      <c r="H21" s="47">
        <v>40</v>
      </c>
      <c r="I21" s="47">
        <v>50</v>
      </c>
      <c r="J21" s="47">
        <v>53.9</v>
      </c>
      <c r="K21" s="48">
        <v>7.79</v>
      </c>
      <c r="L21" s="48">
        <v>6.88</v>
      </c>
      <c r="M21" s="48">
        <v>5.56</v>
      </c>
      <c r="N21" s="48">
        <v>4.63</v>
      </c>
      <c r="O21" s="48">
        <v>3.57</v>
      </c>
      <c r="P21" s="48">
        <v>2.4700000000000002</v>
      </c>
      <c r="Q21" s="48">
        <v>1.97</v>
      </c>
      <c r="R21" s="49" t="s">
        <v>189</v>
      </c>
      <c r="S21" s="50">
        <v>0.99939999999999996</v>
      </c>
      <c r="T21" s="71"/>
      <c r="U21" s="65">
        <f t="shared" si="12"/>
        <v>20</v>
      </c>
      <c r="V21" s="66">
        <f>-0.00003*Q^2-0.1047*Q+7.7531</f>
        <v>5.6471</v>
      </c>
      <c r="W21" s="67" t="str">
        <f t="shared" si="13"/>
        <v/>
      </c>
      <c r="Y21" s="9">
        <v>60</v>
      </c>
      <c r="Z21" s="9" t="s">
        <v>320</v>
      </c>
      <c r="AA21" s="9">
        <v>80</v>
      </c>
      <c r="AB21" s="9" t="s">
        <v>318</v>
      </c>
      <c r="AC21" s="38">
        <v>1</v>
      </c>
      <c r="AD21" s="9">
        <v>1450</v>
      </c>
      <c r="AE21" s="9">
        <v>305</v>
      </c>
      <c r="AF21" s="9">
        <v>160</v>
      </c>
      <c r="AG21" s="49" t="s">
        <v>331</v>
      </c>
      <c r="AH21" s="157">
        <f>-0.0129*Q^2+0.9487*Q+43.723</f>
        <v>57.536999999999999</v>
      </c>
      <c r="AI21" s="351">
        <f t="shared" si="14"/>
        <v>4700000</v>
      </c>
    </row>
    <row r="22" spans="1:35">
      <c r="A22" s="9" t="s">
        <v>75</v>
      </c>
      <c r="B22" s="9" t="s">
        <v>76</v>
      </c>
      <c r="C22" s="46" t="s">
        <v>91</v>
      </c>
      <c r="D22" s="47">
        <v>0</v>
      </c>
      <c r="E22" s="47">
        <v>8.1199999999999992</v>
      </c>
      <c r="F22" s="47">
        <v>15</v>
      </c>
      <c r="G22" s="47">
        <v>20</v>
      </c>
      <c r="H22" s="47">
        <v>25</v>
      </c>
      <c r="I22" s="47">
        <v>30</v>
      </c>
      <c r="J22" s="47">
        <v>35</v>
      </c>
      <c r="K22" s="48">
        <v>5.36</v>
      </c>
      <c r="L22" s="48">
        <v>4.51</v>
      </c>
      <c r="M22" s="48">
        <v>3.58</v>
      </c>
      <c r="N22" s="48">
        <v>2.97</v>
      </c>
      <c r="O22" s="48">
        <v>2.36</v>
      </c>
      <c r="P22" s="48">
        <v>1.87</v>
      </c>
      <c r="Q22" s="48">
        <v>1.3</v>
      </c>
      <c r="R22" s="49" t="s">
        <v>188</v>
      </c>
      <c r="S22" s="50">
        <v>0.99870000000000003</v>
      </c>
      <c r="T22" s="71"/>
      <c r="U22" s="65">
        <f t="shared" si="12"/>
        <v>20</v>
      </c>
      <c r="V22" s="66">
        <f>0.0002*Q^2-0.1239*Q+5.4062</f>
        <v>3.0082000000000004</v>
      </c>
      <c r="W22" s="67" t="str">
        <f t="shared" si="13"/>
        <v/>
      </c>
      <c r="Y22" s="9">
        <v>60</v>
      </c>
      <c r="Z22" s="9" t="s">
        <v>320</v>
      </c>
      <c r="AA22" s="9">
        <v>80</v>
      </c>
      <c r="AB22" s="9" t="s">
        <v>319</v>
      </c>
      <c r="AC22" s="38">
        <v>1.3</v>
      </c>
      <c r="AD22" s="9">
        <v>1450</v>
      </c>
      <c r="AE22" s="9">
        <v>305</v>
      </c>
      <c r="AF22" s="9">
        <v>130</v>
      </c>
      <c r="AG22" s="49" t="s">
        <v>340</v>
      </c>
      <c r="AH22" s="157">
        <f>-0.0283*Q^2+1.3957*Q+48.084</f>
        <v>64.677999999999997</v>
      </c>
      <c r="AI22" s="351">
        <f t="shared" si="14"/>
        <v>4800000</v>
      </c>
    </row>
    <row r="23" spans="1:35">
      <c r="A23" s="9" t="s">
        <v>75</v>
      </c>
      <c r="B23" s="9" t="s">
        <v>76</v>
      </c>
      <c r="C23" s="46" t="s">
        <v>91</v>
      </c>
      <c r="D23" s="47">
        <v>0</v>
      </c>
      <c r="E23" s="47">
        <v>8.1199999999999992</v>
      </c>
      <c r="F23" s="47">
        <v>20</v>
      </c>
      <c r="G23" s="47">
        <v>30</v>
      </c>
      <c r="H23" s="47">
        <v>40</v>
      </c>
      <c r="I23" s="47">
        <v>50</v>
      </c>
      <c r="J23" s="47">
        <v>53.9</v>
      </c>
      <c r="K23" s="48">
        <v>7.79</v>
      </c>
      <c r="L23" s="48">
        <v>6.88</v>
      </c>
      <c r="M23" s="48">
        <v>5.56</v>
      </c>
      <c r="N23" s="48">
        <v>4.63</v>
      </c>
      <c r="O23" s="48">
        <v>3.57</v>
      </c>
      <c r="P23" s="48">
        <v>2.4700000000000002</v>
      </c>
      <c r="Q23" s="48">
        <v>1.97</v>
      </c>
      <c r="R23" s="49" t="s">
        <v>189</v>
      </c>
      <c r="S23" s="50">
        <v>0.99939999999999996</v>
      </c>
      <c r="T23" s="71"/>
      <c r="U23" s="65">
        <f t="shared" si="12"/>
        <v>20</v>
      </c>
      <c r="V23" s="66">
        <f>-0.00003*Q^2-0.1047*Q+7.7531</f>
        <v>5.6471</v>
      </c>
      <c r="W23" s="67" t="str">
        <f t="shared" si="13"/>
        <v/>
      </c>
      <c r="Y23" s="9">
        <v>60</v>
      </c>
      <c r="Z23" s="9" t="s">
        <v>320</v>
      </c>
      <c r="AA23" s="9">
        <v>80</v>
      </c>
      <c r="AB23" s="9" t="s">
        <v>319</v>
      </c>
      <c r="AC23" s="38">
        <v>1.3</v>
      </c>
      <c r="AD23" s="9">
        <v>1450</v>
      </c>
      <c r="AE23" s="9">
        <v>305</v>
      </c>
      <c r="AF23" s="9">
        <v>160</v>
      </c>
      <c r="AG23" s="49" t="s">
        <v>341</v>
      </c>
      <c r="AH23" s="157">
        <f>-0.0129*Q^2+0.9487*Q+53.723</f>
        <v>67.537000000000006</v>
      </c>
      <c r="AI23" s="351">
        <f t="shared" si="14"/>
        <v>4900000</v>
      </c>
    </row>
    <row r="24" spans="1:35">
      <c r="A24" s="9" t="s">
        <v>75</v>
      </c>
      <c r="B24" s="9" t="s">
        <v>76</v>
      </c>
      <c r="C24" s="46" t="s">
        <v>91</v>
      </c>
      <c r="D24" s="47">
        <v>0</v>
      </c>
      <c r="E24" s="47">
        <v>8.1199999999999992</v>
      </c>
      <c r="F24" s="47">
        <v>15</v>
      </c>
      <c r="G24" s="47">
        <v>25</v>
      </c>
      <c r="H24" s="47">
        <v>30</v>
      </c>
      <c r="I24" s="47">
        <v>35</v>
      </c>
      <c r="J24" s="47">
        <v>46.04</v>
      </c>
      <c r="K24" s="48">
        <v>9.83</v>
      </c>
      <c r="L24" s="48">
        <v>8.8699999999999992</v>
      </c>
      <c r="M24" s="48">
        <v>8.08</v>
      </c>
      <c r="N24" s="48">
        <v>6.96</v>
      </c>
      <c r="O24" s="48">
        <v>6.41</v>
      </c>
      <c r="P24" s="48">
        <v>5.71</v>
      </c>
      <c r="Q24" s="48">
        <v>4.3899999999999997</v>
      </c>
      <c r="R24" s="49" t="s">
        <v>190</v>
      </c>
      <c r="S24" s="50">
        <v>0.99960000000000004</v>
      </c>
      <c r="T24" s="71"/>
      <c r="U24" s="65">
        <f t="shared" si="12"/>
        <v>20</v>
      </c>
      <c r="V24" s="66">
        <f>-0.0001*Q^2-0.1108*Q+9.8063</f>
        <v>7.5503</v>
      </c>
      <c r="W24" s="67" t="str">
        <f t="shared" si="13"/>
        <v>OK</v>
      </c>
      <c r="Y24" s="9">
        <v>60</v>
      </c>
      <c r="Z24" s="9" t="s">
        <v>320</v>
      </c>
      <c r="AA24" s="9">
        <v>80</v>
      </c>
      <c r="AB24" s="9" t="s">
        <v>319</v>
      </c>
      <c r="AC24" s="38">
        <v>1.3</v>
      </c>
      <c r="AD24" s="9">
        <v>1450</v>
      </c>
      <c r="AE24" s="9">
        <v>305</v>
      </c>
      <c r="AF24" s="9">
        <v>186</v>
      </c>
      <c r="AG24" s="49" t="s">
        <v>342</v>
      </c>
      <c r="AH24" s="157">
        <f>-0.0165*Q^2+1.0821*Q+33.738</f>
        <v>48.78</v>
      </c>
      <c r="AI24" s="351">
        <f t="shared" si="14"/>
        <v>5000000</v>
      </c>
    </row>
    <row r="25" spans="1:35">
      <c r="A25" s="9" t="s">
        <v>75</v>
      </c>
      <c r="B25" s="9" t="s">
        <v>76</v>
      </c>
      <c r="C25" s="46" t="s">
        <v>92</v>
      </c>
      <c r="D25" s="47">
        <v>0</v>
      </c>
      <c r="E25" s="47">
        <v>8.1199999999999992</v>
      </c>
      <c r="F25" s="47">
        <v>25</v>
      </c>
      <c r="G25" s="47">
        <v>35</v>
      </c>
      <c r="H25" s="47">
        <v>50</v>
      </c>
      <c r="I25" s="47">
        <v>60</v>
      </c>
      <c r="J25" s="47">
        <v>69.09</v>
      </c>
      <c r="K25" s="48">
        <v>11.39</v>
      </c>
      <c r="L25" s="48">
        <v>10.51</v>
      </c>
      <c r="M25" s="48">
        <v>9.08</v>
      </c>
      <c r="N25" s="48">
        <v>8.0399999999999991</v>
      </c>
      <c r="O25" s="48">
        <v>6.37</v>
      </c>
      <c r="P25" s="48">
        <v>5.09</v>
      </c>
      <c r="Q25" s="48">
        <v>4</v>
      </c>
      <c r="R25" s="49" t="s">
        <v>191</v>
      </c>
      <c r="S25" s="50">
        <v>0.99950000000000006</v>
      </c>
      <c r="T25" s="71"/>
      <c r="U25" s="65">
        <f t="shared" si="12"/>
        <v>20</v>
      </c>
      <c r="V25" s="66">
        <f>-0.0003*Q^2-0.082*Q+11.317</f>
        <v>9.5570000000000004</v>
      </c>
      <c r="W25" s="67" t="str">
        <f t="shared" si="13"/>
        <v/>
      </c>
      <c r="Y25" s="9">
        <v>60</v>
      </c>
      <c r="Z25" s="9" t="s">
        <v>320</v>
      </c>
      <c r="AA25" s="9">
        <v>80</v>
      </c>
      <c r="AB25" s="9" t="s">
        <v>319</v>
      </c>
      <c r="AC25" s="38">
        <v>2.2000000000000002</v>
      </c>
      <c r="AD25" s="9">
        <v>1450</v>
      </c>
      <c r="AE25" s="9">
        <v>305</v>
      </c>
      <c r="AF25" s="9">
        <v>205</v>
      </c>
      <c r="AG25" s="49" t="s">
        <v>343</v>
      </c>
      <c r="AH25" s="157">
        <f>-0.0084*Q^2+0.7623*Q+39.138</f>
        <v>51.024000000000001</v>
      </c>
      <c r="AI25" s="351">
        <f t="shared" si="14"/>
        <v>5100000</v>
      </c>
    </row>
    <row r="26" spans="1:35">
      <c r="A26" s="9" t="s">
        <v>75</v>
      </c>
      <c r="B26" s="9" t="s">
        <v>76</v>
      </c>
      <c r="C26" s="46" t="s">
        <v>93</v>
      </c>
      <c r="D26" s="47">
        <v>0</v>
      </c>
      <c r="E26" s="47">
        <v>9.89</v>
      </c>
      <c r="F26" s="47">
        <v>15</v>
      </c>
      <c r="G26" s="47">
        <v>20</v>
      </c>
      <c r="H26" s="47">
        <v>25</v>
      </c>
      <c r="I26" s="47">
        <v>30</v>
      </c>
      <c r="J26" s="47">
        <v>33.950000000000003</v>
      </c>
      <c r="K26" s="48">
        <v>8.0399999999999991</v>
      </c>
      <c r="L26" s="48">
        <v>5.62</v>
      </c>
      <c r="M26" s="48">
        <v>4.67</v>
      </c>
      <c r="N26" s="48">
        <v>3.69</v>
      </c>
      <c r="O26" s="48">
        <v>2.86</v>
      </c>
      <c r="P26" s="48">
        <v>1.89</v>
      </c>
      <c r="Q26" s="48">
        <v>1.1499999999999999</v>
      </c>
      <c r="R26" s="49" t="s">
        <v>196</v>
      </c>
      <c r="S26" s="50">
        <v>0.99890000000000001</v>
      </c>
      <c r="T26" s="71"/>
      <c r="U26" s="65">
        <f t="shared" si="12"/>
        <v>20</v>
      </c>
      <c r="V26" s="66">
        <f>0.0011*Q^2-0.2381*Q+7.9869</f>
        <v>3.6649000000000003</v>
      </c>
      <c r="W26" s="67" t="str">
        <f t="shared" si="13"/>
        <v/>
      </c>
      <c r="Y26" s="9">
        <v>30</v>
      </c>
      <c r="Z26" s="9" t="s">
        <v>320</v>
      </c>
      <c r="AA26" s="9">
        <v>80</v>
      </c>
      <c r="AB26" s="9" t="s">
        <v>318</v>
      </c>
      <c r="AC26" s="38">
        <v>1.2</v>
      </c>
      <c r="AD26" s="9">
        <v>2900</v>
      </c>
      <c r="AE26" s="9">
        <v>305</v>
      </c>
      <c r="AF26" s="9">
        <v>110</v>
      </c>
      <c r="AG26" s="49" t="s">
        <v>344</v>
      </c>
      <c r="AH26" s="157">
        <f>-0.0264*Q^2+1.3346*Q+43.024</f>
        <v>59.155999999999999</v>
      </c>
      <c r="AI26" s="351">
        <f t="shared" si="14"/>
        <v>5200000</v>
      </c>
    </row>
    <row r="27" spans="1:35">
      <c r="A27" s="9" t="s">
        <v>75</v>
      </c>
      <c r="B27" s="9" t="s">
        <v>76</v>
      </c>
      <c r="C27" s="46" t="s">
        <v>93</v>
      </c>
      <c r="D27" s="47">
        <v>0</v>
      </c>
      <c r="E27" s="47">
        <v>10.119999999999999</v>
      </c>
      <c r="F27" s="47">
        <v>20</v>
      </c>
      <c r="G27" s="47">
        <v>30</v>
      </c>
      <c r="H27" s="47">
        <v>35</v>
      </c>
      <c r="I27" s="47">
        <v>45</v>
      </c>
      <c r="J27" s="47">
        <v>52.28</v>
      </c>
      <c r="K27" s="48">
        <v>12.44</v>
      </c>
      <c r="L27" s="48">
        <v>10</v>
      </c>
      <c r="M27" s="48">
        <v>7.72</v>
      </c>
      <c r="N27" s="48">
        <v>5.76</v>
      </c>
      <c r="O27" s="48">
        <v>4.72</v>
      </c>
      <c r="P27" s="48">
        <v>2.69</v>
      </c>
      <c r="Q27" s="48">
        <v>1.48</v>
      </c>
      <c r="R27" s="49" t="s">
        <v>197</v>
      </c>
      <c r="S27" s="50">
        <v>0.99980000000000002</v>
      </c>
      <c r="T27" s="71"/>
      <c r="U27" s="65">
        <f t="shared" si="12"/>
        <v>20</v>
      </c>
      <c r="V27" s="66">
        <f>0.0007*Q^2-0.2447*Q+12.421</f>
        <v>7.8069999999999995</v>
      </c>
      <c r="W27" s="67" t="str">
        <f t="shared" si="13"/>
        <v>OK</v>
      </c>
      <c r="Y27" s="9">
        <v>30</v>
      </c>
      <c r="Z27" s="9" t="s">
        <v>320</v>
      </c>
      <c r="AA27" s="9">
        <v>80</v>
      </c>
      <c r="AB27" s="9" t="s">
        <v>318</v>
      </c>
      <c r="AC27" s="38">
        <v>1.2</v>
      </c>
      <c r="AD27" s="9">
        <v>2900</v>
      </c>
      <c r="AE27" s="9">
        <v>305</v>
      </c>
      <c r="AF27" s="9">
        <v>118</v>
      </c>
      <c r="AG27" s="49" t="s">
        <v>345</v>
      </c>
      <c r="AH27" s="157">
        <f>-0.0142*Q^2+0.9989*Q+48.213</f>
        <v>62.511000000000003</v>
      </c>
      <c r="AI27" s="351">
        <f t="shared" si="14"/>
        <v>5300000</v>
      </c>
    </row>
    <row r="28" spans="1:35">
      <c r="A28" s="9" t="s">
        <v>75</v>
      </c>
      <c r="B28" s="9" t="s">
        <v>76</v>
      </c>
      <c r="C28" s="9" t="s">
        <v>94</v>
      </c>
      <c r="D28" s="47">
        <v>0</v>
      </c>
      <c r="E28" s="47">
        <v>9.89</v>
      </c>
      <c r="F28" s="47">
        <v>15</v>
      </c>
      <c r="G28" s="47">
        <v>20</v>
      </c>
      <c r="H28" s="47">
        <v>25</v>
      </c>
      <c r="I28" s="47">
        <v>30</v>
      </c>
      <c r="J28" s="47">
        <v>33.950000000000003</v>
      </c>
      <c r="K28" s="48">
        <v>8.0399999999999991</v>
      </c>
      <c r="L28" s="48">
        <v>5.62</v>
      </c>
      <c r="M28" s="48">
        <v>4.67</v>
      </c>
      <c r="N28" s="48">
        <v>3.69</v>
      </c>
      <c r="O28" s="48">
        <v>2.86</v>
      </c>
      <c r="P28" s="48">
        <v>1.89</v>
      </c>
      <c r="Q28" s="48">
        <v>1.1499999999999999</v>
      </c>
      <c r="R28" s="49" t="s">
        <v>196</v>
      </c>
      <c r="S28" s="50">
        <v>0.99890000000000001</v>
      </c>
      <c r="T28" s="71"/>
      <c r="U28" s="65">
        <f t="shared" si="12"/>
        <v>20</v>
      </c>
      <c r="V28" s="66">
        <f>0.0011*Q^2-0.2381*Q+7.9869</f>
        <v>3.6649000000000003</v>
      </c>
      <c r="W28" s="67" t="str">
        <f t="shared" si="13"/>
        <v/>
      </c>
      <c r="Y28" s="9">
        <v>30</v>
      </c>
      <c r="Z28" s="9" t="s">
        <v>320</v>
      </c>
      <c r="AA28" s="9">
        <v>80</v>
      </c>
      <c r="AB28" s="9" t="s">
        <v>319</v>
      </c>
      <c r="AC28" s="38">
        <v>1.2</v>
      </c>
      <c r="AD28" s="9">
        <v>2900</v>
      </c>
      <c r="AE28" s="9">
        <v>305</v>
      </c>
      <c r="AF28" s="9">
        <v>110</v>
      </c>
      <c r="AG28" s="49" t="s">
        <v>346</v>
      </c>
      <c r="AH28" s="157">
        <f>-0.0264*Q^2+1.3346*Q+53.024</f>
        <v>69.156000000000006</v>
      </c>
      <c r="AI28" s="351">
        <f t="shared" si="14"/>
        <v>5400000</v>
      </c>
    </row>
    <row r="29" spans="1:35">
      <c r="A29" s="9" t="s">
        <v>75</v>
      </c>
      <c r="B29" s="9" t="s">
        <v>76</v>
      </c>
      <c r="C29" s="9" t="s">
        <v>94</v>
      </c>
      <c r="D29" s="47">
        <v>0</v>
      </c>
      <c r="E29" s="47">
        <v>10.119999999999999</v>
      </c>
      <c r="F29" s="47">
        <v>20</v>
      </c>
      <c r="G29" s="47">
        <v>30</v>
      </c>
      <c r="H29" s="47">
        <v>35</v>
      </c>
      <c r="I29" s="47">
        <v>45</v>
      </c>
      <c r="J29" s="47">
        <v>52.28</v>
      </c>
      <c r="K29" s="48">
        <v>12.44</v>
      </c>
      <c r="L29" s="48">
        <v>10</v>
      </c>
      <c r="M29" s="48">
        <v>7.72</v>
      </c>
      <c r="N29" s="48">
        <v>5.76</v>
      </c>
      <c r="O29" s="48">
        <v>4.72</v>
      </c>
      <c r="P29" s="48">
        <v>2.69</v>
      </c>
      <c r="Q29" s="48">
        <v>1.48</v>
      </c>
      <c r="R29" s="49" t="s">
        <v>197</v>
      </c>
      <c r="S29" s="50">
        <v>0.99980000000000002</v>
      </c>
      <c r="T29" s="71"/>
      <c r="U29" s="65">
        <f t="shared" si="12"/>
        <v>20</v>
      </c>
      <c r="V29" s="66">
        <f>0.0007*Q^2-0.2447*Q+12.421</f>
        <v>7.8069999999999995</v>
      </c>
      <c r="W29" s="67" t="str">
        <f t="shared" si="13"/>
        <v>OK</v>
      </c>
      <c r="Y29" s="9">
        <v>30</v>
      </c>
      <c r="Z29" s="9" t="s">
        <v>320</v>
      </c>
      <c r="AA29" s="9">
        <v>80</v>
      </c>
      <c r="AB29" s="9" t="s">
        <v>319</v>
      </c>
      <c r="AC29" s="38">
        <v>1.2</v>
      </c>
      <c r="AD29" s="9">
        <v>2900</v>
      </c>
      <c r="AE29" s="9">
        <v>305</v>
      </c>
      <c r="AF29" s="9">
        <v>118</v>
      </c>
      <c r="AG29" s="49" t="s">
        <v>347</v>
      </c>
      <c r="AH29" s="157">
        <f>-0.0142*Q^2+0.9989*Q+38.213</f>
        <v>52.511000000000003</v>
      </c>
      <c r="AI29" s="351">
        <f t="shared" si="14"/>
        <v>5500000</v>
      </c>
    </row>
    <row r="30" spans="1:35">
      <c r="A30" s="9" t="s">
        <v>75</v>
      </c>
      <c r="B30" s="9" t="s">
        <v>76</v>
      </c>
      <c r="C30" s="9" t="s">
        <v>95</v>
      </c>
      <c r="D30" s="47">
        <v>0</v>
      </c>
      <c r="E30" s="47">
        <v>10</v>
      </c>
      <c r="F30" s="47">
        <v>15</v>
      </c>
      <c r="G30" s="47">
        <v>25</v>
      </c>
      <c r="H30" s="47">
        <v>35</v>
      </c>
      <c r="I30" s="47">
        <v>45</v>
      </c>
      <c r="J30" s="47">
        <v>54.16</v>
      </c>
      <c r="K30" s="48">
        <v>15.95</v>
      </c>
      <c r="L30" s="48">
        <v>13.41</v>
      </c>
      <c r="M30" s="48">
        <v>12.1</v>
      </c>
      <c r="N30" s="48">
        <v>9.57</v>
      </c>
      <c r="O30" s="48">
        <v>7.34</v>
      </c>
      <c r="P30" s="48">
        <v>4.99</v>
      </c>
      <c r="Q30" s="48">
        <v>2.85</v>
      </c>
      <c r="R30" s="49" t="s">
        <v>198</v>
      </c>
      <c r="S30" s="50">
        <v>0.99990000000000001</v>
      </c>
      <c r="T30" s="71"/>
      <c r="U30" s="65">
        <f t="shared" si="12"/>
        <v>20</v>
      </c>
      <c r="V30" s="66">
        <f>0.0004*Q^2-0.2602*Q+15.944</f>
        <v>10.900000000000002</v>
      </c>
      <c r="W30" s="67" t="str">
        <f t="shared" si="13"/>
        <v/>
      </c>
      <c r="Y30" s="9">
        <v>30</v>
      </c>
      <c r="Z30" s="9" t="s">
        <v>320</v>
      </c>
      <c r="AA30" s="9">
        <v>80</v>
      </c>
      <c r="AB30" s="9" t="s">
        <v>319</v>
      </c>
      <c r="AC30" s="38">
        <v>1.7</v>
      </c>
      <c r="AD30" s="9">
        <v>2900</v>
      </c>
      <c r="AE30" s="9">
        <v>305</v>
      </c>
      <c r="AF30" s="9">
        <v>128</v>
      </c>
      <c r="AG30" s="49" t="s">
        <v>348</v>
      </c>
      <c r="AH30" s="157">
        <f>-0.0157*Q^2+1.0878*Q+43.136</f>
        <v>58.612000000000002</v>
      </c>
      <c r="AI30" s="351">
        <f t="shared" si="14"/>
        <v>5600000</v>
      </c>
    </row>
    <row r="31" spans="1:35">
      <c r="A31" s="9" t="s">
        <v>75</v>
      </c>
      <c r="B31" s="9" t="s">
        <v>76</v>
      </c>
      <c r="C31" s="9" t="s">
        <v>96</v>
      </c>
      <c r="D31" s="47">
        <v>0</v>
      </c>
      <c r="E31" s="47">
        <v>9.66</v>
      </c>
      <c r="F31" s="47">
        <v>15</v>
      </c>
      <c r="G31" s="47">
        <v>30</v>
      </c>
      <c r="H31" s="47">
        <v>50</v>
      </c>
      <c r="I31" s="47">
        <v>60</v>
      </c>
      <c r="J31" s="47">
        <v>67.319999999999993</v>
      </c>
      <c r="K31" s="48">
        <v>22.63</v>
      </c>
      <c r="L31" s="48">
        <v>17.71</v>
      </c>
      <c r="M31" s="48">
        <v>15.86</v>
      </c>
      <c r="N31" s="48">
        <v>11.86</v>
      </c>
      <c r="O31" s="48">
        <v>7.67</v>
      </c>
      <c r="P31" s="48">
        <v>5.2</v>
      </c>
      <c r="Q31" s="48">
        <v>3.06</v>
      </c>
      <c r="R31" s="49" t="s">
        <v>199</v>
      </c>
      <c r="S31" s="50">
        <v>0.99209999999999998</v>
      </c>
      <c r="T31" s="71"/>
      <c r="U31" s="65">
        <f t="shared" si="12"/>
        <v>20</v>
      </c>
      <c r="V31" s="66">
        <f>0.0017*Q^2-0.3854*Q+21.874</f>
        <v>14.845999999999998</v>
      </c>
      <c r="W31" s="67" t="str">
        <f t="shared" si="13"/>
        <v/>
      </c>
      <c r="Y31" s="9">
        <v>30</v>
      </c>
      <c r="Z31" s="9" t="s">
        <v>320</v>
      </c>
      <c r="AA31" s="9">
        <v>80</v>
      </c>
      <c r="AB31" s="9" t="s">
        <v>319</v>
      </c>
      <c r="AC31" s="38">
        <v>2.6</v>
      </c>
      <c r="AD31" s="9">
        <v>2900</v>
      </c>
      <c r="AE31" s="9">
        <v>305</v>
      </c>
      <c r="AF31" s="9">
        <v>142</v>
      </c>
      <c r="AG31" s="49" t="s">
        <v>349</v>
      </c>
      <c r="AH31" s="157">
        <f>-0.0108*Q^2+0.9141*Q+48.673</f>
        <v>62.635000000000005</v>
      </c>
      <c r="AI31" s="351">
        <f t="shared" si="14"/>
        <v>5700000</v>
      </c>
    </row>
    <row r="32" spans="1:35">
      <c r="A32" s="9" t="s">
        <v>75</v>
      </c>
      <c r="B32" s="9" t="s">
        <v>76</v>
      </c>
      <c r="C32" s="9" t="s">
        <v>97</v>
      </c>
      <c r="D32" s="47">
        <v>0</v>
      </c>
      <c r="E32" s="47">
        <v>10</v>
      </c>
      <c r="F32" s="47">
        <v>20</v>
      </c>
      <c r="G32" s="47">
        <v>30</v>
      </c>
      <c r="H32" s="47">
        <v>40</v>
      </c>
      <c r="I32" s="47">
        <v>50</v>
      </c>
      <c r="J32" s="47">
        <v>59.14</v>
      </c>
      <c r="K32" s="48">
        <v>4.66</v>
      </c>
      <c r="L32" s="48">
        <v>4.17</v>
      </c>
      <c r="M32" s="48">
        <v>3.63</v>
      </c>
      <c r="N32" s="48">
        <v>3.03</v>
      </c>
      <c r="O32" s="48">
        <v>2.4</v>
      </c>
      <c r="P32" s="48">
        <v>1.73</v>
      </c>
      <c r="Q32" s="48">
        <v>1.08</v>
      </c>
      <c r="R32" s="49" t="s">
        <v>200</v>
      </c>
      <c r="S32" s="50">
        <v>1</v>
      </c>
      <c r="T32" s="71"/>
      <c r="U32" s="65">
        <f t="shared" si="12"/>
        <v>20</v>
      </c>
      <c r="V32" s="66">
        <f>-0.0002*Q^2-0.0478*Q+4.665</f>
        <v>3.629</v>
      </c>
      <c r="W32" s="67" t="str">
        <f t="shared" si="13"/>
        <v/>
      </c>
      <c r="Y32" s="9">
        <v>80</v>
      </c>
      <c r="Z32" s="9" t="s">
        <v>320</v>
      </c>
      <c r="AA32" s="9">
        <v>80</v>
      </c>
      <c r="AB32" s="9" t="s">
        <v>319</v>
      </c>
      <c r="AC32" s="38">
        <v>1.3</v>
      </c>
      <c r="AD32" s="9">
        <v>1450</v>
      </c>
      <c r="AE32" s="9">
        <v>445</v>
      </c>
      <c r="AF32" s="9">
        <v>152</v>
      </c>
      <c r="AG32" s="49" t="s">
        <v>350</v>
      </c>
      <c r="AH32" s="157">
        <f>-0.0121*Q^2+0.9349*Q+53.31</f>
        <v>67.168000000000006</v>
      </c>
      <c r="AI32" s="351">
        <f t="shared" si="14"/>
        <v>5800000</v>
      </c>
    </row>
    <row r="33" spans="1:35">
      <c r="A33" s="51" t="s">
        <v>98</v>
      </c>
      <c r="B33" s="51" t="s">
        <v>99</v>
      </c>
      <c r="C33" s="51" t="s">
        <v>100</v>
      </c>
      <c r="D33" s="55">
        <v>0</v>
      </c>
      <c r="E33" s="55">
        <v>4</v>
      </c>
      <c r="F33" s="55">
        <v>6</v>
      </c>
      <c r="G33" s="55">
        <v>8</v>
      </c>
      <c r="H33" s="55">
        <v>10</v>
      </c>
      <c r="I33" s="55">
        <v>12</v>
      </c>
      <c r="J33" s="55">
        <v>14.1</v>
      </c>
      <c r="K33" s="56">
        <v>7.3</v>
      </c>
      <c r="L33" s="56">
        <v>5.85</v>
      </c>
      <c r="M33" s="56">
        <v>5</v>
      </c>
      <c r="N33" s="56">
        <v>4.0999999999999996</v>
      </c>
      <c r="O33" s="56">
        <v>3.1</v>
      </c>
      <c r="P33" s="56">
        <v>2.06</v>
      </c>
      <c r="Q33" s="56">
        <v>0.9</v>
      </c>
      <c r="R33" s="57" t="s">
        <v>201</v>
      </c>
      <c r="S33" s="58">
        <v>1</v>
      </c>
      <c r="T33" s="72"/>
      <c r="U33" s="65">
        <f t="shared" si="12"/>
        <v>20</v>
      </c>
      <c r="V33" s="68">
        <f>-0.0087*Q^2-0.3316*Q+7.3054</f>
        <v>-2.8065999999999987</v>
      </c>
      <c r="W33" s="67" t="str">
        <f t="shared" si="13"/>
        <v/>
      </c>
      <c r="Y33" s="51">
        <v>30</v>
      </c>
      <c r="Z33" s="51" t="s">
        <v>317</v>
      </c>
      <c r="AA33" s="51">
        <v>32</v>
      </c>
      <c r="AB33" s="51" t="s">
        <v>319</v>
      </c>
      <c r="AC33" s="42">
        <v>0.3</v>
      </c>
      <c r="AD33" s="51">
        <v>2850</v>
      </c>
      <c r="AE33" s="51">
        <v>280</v>
      </c>
      <c r="AF33" s="37">
        <v>110</v>
      </c>
      <c r="AG33" s="49" t="s">
        <v>351</v>
      </c>
      <c r="AH33" s="157">
        <f>-0.1343*Q^2+3.0536*Q+33.262</f>
        <v>40.613999999999997</v>
      </c>
      <c r="AI33" s="351">
        <v>3000000</v>
      </c>
    </row>
    <row r="34" spans="1:35">
      <c r="A34" s="51" t="s">
        <v>98</v>
      </c>
      <c r="B34" s="51" t="s">
        <v>99</v>
      </c>
      <c r="C34" s="51" t="s">
        <v>101</v>
      </c>
      <c r="D34" s="55">
        <v>0</v>
      </c>
      <c r="E34" s="55">
        <v>10</v>
      </c>
      <c r="F34" s="55">
        <v>15</v>
      </c>
      <c r="G34" s="55">
        <v>20</v>
      </c>
      <c r="H34" s="55">
        <v>25</v>
      </c>
      <c r="I34" s="55">
        <v>30</v>
      </c>
      <c r="J34" s="55">
        <v>36.299999999999997</v>
      </c>
      <c r="K34" s="56">
        <v>12.4</v>
      </c>
      <c r="L34" s="56">
        <v>10</v>
      </c>
      <c r="M34" s="56">
        <v>8.5</v>
      </c>
      <c r="N34" s="56">
        <v>7</v>
      </c>
      <c r="O34" s="56">
        <v>5.3</v>
      </c>
      <c r="P34" s="56">
        <v>3.5</v>
      </c>
      <c r="Q34" s="56">
        <v>1.1000000000000001</v>
      </c>
      <c r="R34" s="57" t="s">
        <v>202</v>
      </c>
      <c r="S34" s="58">
        <v>0.99990000000000001</v>
      </c>
      <c r="T34" s="72"/>
      <c r="U34" s="65">
        <f t="shared" si="12"/>
        <v>20</v>
      </c>
      <c r="V34" s="68">
        <f>-0.0025*Q^2-0.2216*Q+12.417</f>
        <v>6.9850000000000003</v>
      </c>
      <c r="W34" s="67" t="str">
        <f t="shared" si="13"/>
        <v>OK</v>
      </c>
      <c r="Y34" s="51">
        <v>50</v>
      </c>
      <c r="Z34" s="51" t="s">
        <v>317</v>
      </c>
      <c r="AA34" s="51">
        <v>50</v>
      </c>
      <c r="AB34" s="51" t="s">
        <v>319</v>
      </c>
      <c r="AC34" s="42">
        <v>1.3</v>
      </c>
      <c r="AD34" s="51">
        <v>2850</v>
      </c>
      <c r="AE34" s="51">
        <v>339</v>
      </c>
      <c r="AF34" s="37">
        <v>110</v>
      </c>
      <c r="AG34" s="49" t="s">
        <v>352</v>
      </c>
      <c r="AH34" s="157">
        <f>-0.0262*Q^2+1.3443*Q+37.916</f>
        <v>54.322000000000003</v>
      </c>
      <c r="AI34" s="351">
        <f t="shared" si="14"/>
        <v>3100000</v>
      </c>
    </row>
    <row r="35" spans="1:35">
      <c r="A35" s="51" t="s">
        <v>98</v>
      </c>
      <c r="B35" s="51" t="s">
        <v>99</v>
      </c>
      <c r="C35" s="52" t="s">
        <v>102</v>
      </c>
      <c r="D35" s="55">
        <v>0</v>
      </c>
      <c r="E35" s="55">
        <v>10</v>
      </c>
      <c r="F35" s="55">
        <v>15</v>
      </c>
      <c r="G35" s="55">
        <v>20</v>
      </c>
      <c r="H35" s="55">
        <v>25</v>
      </c>
      <c r="I35" s="55">
        <v>30</v>
      </c>
      <c r="J35" s="55">
        <v>37.25</v>
      </c>
      <c r="K35" s="56">
        <v>15.6</v>
      </c>
      <c r="L35" s="56">
        <v>12.3</v>
      </c>
      <c r="M35" s="56">
        <v>10.65</v>
      </c>
      <c r="N35" s="56">
        <v>9</v>
      </c>
      <c r="O35" s="56">
        <v>7.3</v>
      </c>
      <c r="P35" s="56">
        <v>5.6</v>
      </c>
      <c r="Q35" s="56">
        <v>3.1</v>
      </c>
      <c r="R35" s="57" t="s">
        <v>203</v>
      </c>
      <c r="S35" s="58">
        <v>1</v>
      </c>
      <c r="T35" s="72"/>
      <c r="U35" s="65">
        <f t="shared" si="12"/>
        <v>20</v>
      </c>
      <c r="V35" s="68">
        <f>-0.0003*Q^2-0.3248*Q+15.592</f>
        <v>8.9760000000000009</v>
      </c>
      <c r="W35" s="67" t="str">
        <f t="shared" si="13"/>
        <v/>
      </c>
      <c r="Y35" s="51">
        <v>50</v>
      </c>
      <c r="Z35" s="51" t="s">
        <v>317</v>
      </c>
      <c r="AA35" s="51">
        <v>50</v>
      </c>
      <c r="AB35" s="51" t="s">
        <v>319</v>
      </c>
      <c r="AC35" s="42">
        <v>1.8</v>
      </c>
      <c r="AD35" s="51">
        <v>2850</v>
      </c>
      <c r="AE35" s="51">
        <v>339</v>
      </c>
      <c r="AF35" s="37">
        <v>110</v>
      </c>
      <c r="AG35" s="49" t="s">
        <v>353</v>
      </c>
      <c r="AH35" s="157">
        <f>-0.0259*Q^2+1.3407*Q+42.901</f>
        <v>59.355000000000004</v>
      </c>
      <c r="AI35" s="351">
        <f t="shared" si="14"/>
        <v>3200000</v>
      </c>
    </row>
    <row r="36" spans="1:35">
      <c r="A36" s="51" t="s">
        <v>98</v>
      </c>
      <c r="B36" s="51" t="s">
        <v>99</v>
      </c>
      <c r="C36" s="52" t="s">
        <v>103</v>
      </c>
      <c r="D36" s="55">
        <v>0</v>
      </c>
      <c r="E36" s="55">
        <v>10</v>
      </c>
      <c r="F36" s="55">
        <v>20</v>
      </c>
      <c r="G36" s="55">
        <v>30</v>
      </c>
      <c r="H36" s="55">
        <v>40</v>
      </c>
      <c r="I36" s="55">
        <v>50</v>
      </c>
      <c r="J36" s="55">
        <v>54.6</v>
      </c>
      <c r="K36" s="56">
        <v>8.1999999999999993</v>
      </c>
      <c r="L36" s="56">
        <v>6.8</v>
      </c>
      <c r="M36" s="56">
        <v>5.6</v>
      </c>
      <c r="N36" s="56">
        <v>4.2</v>
      </c>
      <c r="O36" s="56">
        <v>2.8</v>
      </c>
      <c r="P36" s="56">
        <v>1.3</v>
      </c>
      <c r="Q36" s="56">
        <v>0.75</v>
      </c>
      <c r="R36" s="57" t="s">
        <v>204</v>
      </c>
      <c r="S36" s="58">
        <v>0.99960000000000004</v>
      </c>
      <c r="T36" s="72"/>
      <c r="U36" s="65">
        <f t="shared" ref="U36:U67" si="15">Q</f>
        <v>20</v>
      </c>
      <c r="V36" s="68">
        <f>-0.0002*Q^2-0.1281*Q+8.1731</f>
        <v>5.5311000000000003</v>
      </c>
      <c r="W36" s="67" t="str">
        <f t="shared" ref="W36:W67" si="16">IF(AND(V36&gt;H-1,V36&lt;H+1,V36&gt;Q36),"OK","")</f>
        <v/>
      </c>
      <c r="Y36" s="51">
        <v>60</v>
      </c>
      <c r="Z36" s="51" t="s">
        <v>321</v>
      </c>
      <c r="AA36" s="51">
        <v>80</v>
      </c>
      <c r="AB36" s="51" t="s">
        <v>319</v>
      </c>
      <c r="AC36" s="42">
        <v>1.7</v>
      </c>
      <c r="AD36" s="51">
        <v>2850</v>
      </c>
      <c r="AE36" s="51">
        <v>420</v>
      </c>
      <c r="AF36" s="37">
        <v>110</v>
      </c>
      <c r="AG36" s="49" t="s">
        <v>354</v>
      </c>
      <c r="AH36" s="157">
        <f>-0.0127*Q^2+0.9506*Q+48.292</f>
        <v>62.224000000000004</v>
      </c>
      <c r="AI36" s="351">
        <f t="shared" si="14"/>
        <v>3300000</v>
      </c>
    </row>
    <row r="37" spans="1:35">
      <c r="A37" s="51" t="s">
        <v>98</v>
      </c>
      <c r="B37" s="51" t="s">
        <v>99</v>
      </c>
      <c r="C37" s="52" t="s">
        <v>104</v>
      </c>
      <c r="D37" s="55">
        <v>0</v>
      </c>
      <c r="E37" s="55">
        <v>10</v>
      </c>
      <c r="F37" s="55">
        <v>20</v>
      </c>
      <c r="G37" s="55">
        <v>30</v>
      </c>
      <c r="H37" s="55">
        <v>40</v>
      </c>
      <c r="I37" s="55">
        <v>50</v>
      </c>
      <c r="J37" s="55">
        <v>66.400000000000006</v>
      </c>
      <c r="K37" s="56">
        <v>17.5</v>
      </c>
      <c r="L37" s="56">
        <v>14.9</v>
      </c>
      <c r="M37" s="56">
        <v>12.3</v>
      </c>
      <c r="N37" s="56">
        <v>9.8000000000000007</v>
      </c>
      <c r="O37" s="56">
        <v>7.5</v>
      </c>
      <c r="P37" s="56">
        <v>5</v>
      </c>
      <c r="Q37" s="56">
        <v>1.2</v>
      </c>
      <c r="R37" s="57" t="s">
        <v>205</v>
      </c>
      <c r="S37" s="57">
        <v>0.99990000000000001</v>
      </c>
      <c r="T37" s="73"/>
      <c r="U37" s="65">
        <f t="shared" si="15"/>
        <v>20</v>
      </c>
      <c r="V37" s="68">
        <f>0.0003*Q^2-0.2625*Q+17.487</f>
        <v>12.356999999999999</v>
      </c>
      <c r="W37" s="67" t="str">
        <f t="shared" si="16"/>
        <v/>
      </c>
      <c r="Y37" s="51">
        <v>50</v>
      </c>
      <c r="Z37" s="51" t="s">
        <v>321</v>
      </c>
      <c r="AA37" s="51">
        <v>80</v>
      </c>
      <c r="AB37" s="51" t="s">
        <v>319</v>
      </c>
      <c r="AC37" s="42">
        <v>3.1</v>
      </c>
      <c r="AD37" s="51">
        <v>2850</v>
      </c>
      <c r="AE37" s="51">
        <v>449</v>
      </c>
      <c r="AF37" s="37">
        <v>110</v>
      </c>
      <c r="AG37" s="49" t="s">
        <v>355</v>
      </c>
      <c r="AH37" s="157">
        <f>-0.0104*Q^2+0.868*Q+53.602</f>
        <v>66.801999999999992</v>
      </c>
      <c r="AI37" s="351">
        <f t="shared" si="14"/>
        <v>3400000</v>
      </c>
    </row>
    <row r="38" spans="1:35">
      <c r="A38" s="51" t="s">
        <v>98</v>
      </c>
      <c r="B38" s="51" t="s">
        <v>99</v>
      </c>
      <c r="C38" s="52" t="s">
        <v>105</v>
      </c>
      <c r="D38" s="55">
        <v>0</v>
      </c>
      <c r="E38" s="55">
        <v>10</v>
      </c>
      <c r="F38" s="55">
        <v>20</v>
      </c>
      <c r="G38" s="55">
        <v>30</v>
      </c>
      <c r="H38" s="55">
        <v>40</v>
      </c>
      <c r="I38" s="55">
        <v>50</v>
      </c>
      <c r="J38" s="55">
        <v>60</v>
      </c>
      <c r="K38" s="56">
        <v>15.2</v>
      </c>
      <c r="L38" s="56">
        <v>12.8</v>
      </c>
      <c r="M38" s="56">
        <v>10.4</v>
      </c>
      <c r="N38" s="56">
        <v>8.1</v>
      </c>
      <c r="O38" s="56">
        <v>5.9</v>
      </c>
      <c r="P38" s="56">
        <v>3.6</v>
      </c>
      <c r="Q38" s="56">
        <v>1.5</v>
      </c>
      <c r="R38" s="57" t="s">
        <v>206</v>
      </c>
      <c r="S38" s="57">
        <v>1</v>
      </c>
      <c r="T38" s="73"/>
      <c r="U38" s="65">
        <f t="shared" si="15"/>
        <v>20</v>
      </c>
      <c r="V38" s="68">
        <f>0.0003*Q^2-0.2443*Q+15.202</f>
        <v>10.436</v>
      </c>
      <c r="W38" s="67" t="str">
        <f t="shared" si="16"/>
        <v/>
      </c>
      <c r="Y38" s="51">
        <v>50</v>
      </c>
      <c r="Z38" s="51" t="s">
        <v>321</v>
      </c>
      <c r="AA38" s="51">
        <v>80</v>
      </c>
      <c r="AB38" s="51" t="s">
        <v>319</v>
      </c>
      <c r="AC38" s="42">
        <v>2.7</v>
      </c>
      <c r="AD38" s="51">
        <v>2850</v>
      </c>
      <c r="AE38" s="51">
        <v>449</v>
      </c>
      <c r="AF38" s="37">
        <v>110</v>
      </c>
      <c r="AG38" s="49" t="s">
        <v>356</v>
      </c>
      <c r="AH38" s="157">
        <f>-0.0101*Q^2+0.8536*Q+33.69</f>
        <v>46.721999999999994</v>
      </c>
      <c r="AI38" s="351">
        <f t="shared" si="14"/>
        <v>3500000</v>
      </c>
    </row>
    <row r="39" spans="1:35">
      <c r="A39" s="51" t="s">
        <v>98</v>
      </c>
      <c r="B39" s="51" t="s">
        <v>99</v>
      </c>
      <c r="C39" s="52" t="s">
        <v>106</v>
      </c>
      <c r="D39" s="55">
        <v>0</v>
      </c>
      <c r="E39" s="55">
        <v>10</v>
      </c>
      <c r="F39" s="55">
        <v>20</v>
      </c>
      <c r="G39" s="55">
        <v>30</v>
      </c>
      <c r="H39" s="55">
        <v>40</v>
      </c>
      <c r="I39" s="55">
        <v>50</v>
      </c>
      <c r="J39" s="55">
        <v>62.3</v>
      </c>
      <c r="K39" s="56">
        <v>20.3</v>
      </c>
      <c r="L39" s="56">
        <v>19.399999999999999</v>
      </c>
      <c r="M39" s="56">
        <v>18.399999999999999</v>
      </c>
      <c r="N39" s="56">
        <v>17.3</v>
      </c>
      <c r="O39" s="56">
        <v>16.2</v>
      </c>
      <c r="P39" s="56">
        <v>15.1</v>
      </c>
      <c r="Q39" s="56">
        <v>13.7</v>
      </c>
      <c r="R39" s="57" t="s">
        <v>207</v>
      </c>
      <c r="S39" s="57">
        <v>0.99980000000000002</v>
      </c>
      <c r="T39" s="73"/>
      <c r="U39" s="65">
        <f t="shared" si="15"/>
        <v>20</v>
      </c>
      <c r="V39" s="68">
        <f>-0.0002*Q^2-0.0948*Q+20.334</f>
        <v>18.358000000000001</v>
      </c>
      <c r="W39" s="67" t="str">
        <f t="shared" si="16"/>
        <v/>
      </c>
      <c r="Y39" s="51">
        <v>80</v>
      </c>
      <c r="Z39" s="51" t="s">
        <v>321</v>
      </c>
      <c r="AA39" s="51">
        <v>80</v>
      </c>
      <c r="AB39" s="51" t="s">
        <v>319</v>
      </c>
      <c r="AC39" s="42">
        <v>5.5</v>
      </c>
      <c r="AD39" s="51">
        <v>2850</v>
      </c>
      <c r="AE39" s="51">
        <v>570</v>
      </c>
      <c r="AF39" s="37">
        <v>110</v>
      </c>
      <c r="AG39" s="49" t="s">
        <v>357</v>
      </c>
      <c r="AH39" s="157">
        <f>-0.0114*Q^2+0.9086*Q+38.415</f>
        <v>52.027000000000001</v>
      </c>
      <c r="AI39" s="351">
        <f t="shared" si="14"/>
        <v>3600000</v>
      </c>
    </row>
    <row r="40" spans="1:35">
      <c r="A40" s="51" t="s">
        <v>98</v>
      </c>
      <c r="B40" s="51" t="s">
        <v>99</v>
      </c>
      <c r="C40" s="52" t="s">
        <v>107</v>
      </c>
      <c r="D40" s="55">
        <v>0</v>
      </c>
      <c r="E40" s="55">
        <v>10</v>
      </c>
      <c r="F40" s="55">
        <v>20</v>
      </c>
      <c r="G40" s="55">
        <v>30</v>
      </c>
      <c r="H40" s="55">
        <v>40</v>
      </c>
      <c r="I40" s="55">
        <v>50</v>
      </c>
      <c r="J40" s="55">
        <v>65.8</v>
      </c>
      <c r="K40" s="56">
        <v>28.5</v>
      </c>
      <c r="L40" s="56">
        <v>26.5</v>
      </c>
      <c r="M40" s="56">
        <v>24.5</v>
      </c>
      <c r="N40" s="56">
        <v>22.3</v>
      </c>
      <c r="O40" s="56">
        <v>20</v>
      </c>
      <c r="P40" s="56">
        <v>17.5</v>
      </c>
      <c r="Q40" s="56">
        <v>13.7</v>
      </c>
      <c r="R40" s="57" t="s">
        <v>208</v>
      </c>
      <c r="S40" s="57">
        <v>0.99990000000000001</v>
      </c>
      <c r="T40" s="73"/>
      <c r="U40" s="65">
        <f t="shared" si="15"/>
        <v>20</v>
      </c>
      <c r="V40" s="68">
        <f>-0.0005*Q^2-0.1935*Q+28.512</f>
        <v>24.442</v>
      </c>
      <c r="W40" s="67" t="str">
        <f t="shared" si="16"/>
        <v/>
      </c>
      <c r="Y40" s="51">
        <v>70</v>
      </c>
      <c r="Z40" s="51" t="s">
        <v>321</v>
      </c>
      <c r="AA40" s="51">
        <v>80</v>
      </c>
      <c r="AB40" s="51" t="s">
        <v>319</v>
      </c>
      <c r="AC40" s="42">
        <v>7</v>
      </c>
      <c r="AD40" s="51">
        <v>2850</v>
      </c>
      <c r="AE40" s="51">
        <v>449</v>
      </c>
      <c r="AF40" s="37">
        <v>110</v>
      </c>
      <c r="AG40" s="49" t="s">
        <v>358</v>
      </c>
      <c r="AH40" s="157">
        <f>-0.0105*Q^2+0.8741*Q+43.573</f>
        <v>56.855000000000004</v>
      </c>
      <c r="AI40" s="351">
        <f t="shared" si="14"/>
        <v>3700000</v>
      </c>
    </row>
    <row r="41" spans="1:35">
      <c r="A41" s="51" t="s">
        <v>98</v>
      </c>
      <c r="B41" s="51" t="s">
        <v>99</v>
      </c>
      <c r="C41" s="52" t="s">
        <v>108</v>
      </c>
      <c r="D41" s="55">
        <v>0</v>
      </c>
      <c r="E41" s="55">
        <v>10</v>
      </c>
      <c r="F41" s="55">
        <v>20</v>
      </c>
      <c r="G41" s="55">
        <v>30</v>
      </c>
      <c r="H41" s="55">
        <v>40</v>
      </c>
      <c r="I41" s="55">
        <v>50</v>
      </c>
      <c r="J41" s="55">
        <v>60.08</v>
      </c>
      <c r="K41" s="56">
        <v>46.7</v>
      </c>
      <c r="L41" s="56">
        <v>45</v>
      </c>
      <c r="M41" s="56">
        <v>43.2</v>
      </c>
      <c r="N41" s="56">
        <v>41.2</v>
      </c>
      <c r="O41" s="56">
        <v>39.1</v>
      </c>
      <c r="P41" s="56">
        <v>37</v>
      </c>
      <c r="Q41" s="56">
        <v>34.700000000000003</v>
      </c>
      <c r="R41" s="57" t="s">
        <v>209</v>
      </c>
      <c r="S41" s="57">
        <v>1</v>
      </c>
      <c r="T41" s="73"/>
      <c r="U41" s="65">
        <f t="shared" si="15"/>
        <v>20</v>
      </c>
      <c r="V41" s="68">
        <f>-0.0005*Q^2-0.1673*Q+46.719</f>
        <v>43.173000000000002</v>
      </c>
      <c r="W41" s="67" t="str">
        <f t="shared" si="16"/>
        <v/>
      </c>
      <c r="Y41" s="51">
        <v>50</v>
      </c>
      <c r="Z41" s="51" t="s">
        <v>321</v>
      </c>
      <c r="AA41" s="51">
        <v>80</v>
      </c>
      <c r="AB41" s="51" t="s">
        <v>319</v>
      </c>
      <c r="AC41" s="42">
        <v>15.7</v>
      </c>
      <c r="AD41" s="51">
        <v>2850</v>
      </c>
      <c r="AE41" s="51">
        <v>640</v>
      </c>
      <c r="AF41" s="37">
        <v>110</v>
      </c>
      <c r="AG41" s="49" t="s">
        <v>359</v>
      </c>
      <c r="AH41" s="157">
        <f>-0.0119*Q^2+0.9279*Q+48.336</f>
        <v>62.134</v>
      </c>
      <c r="AI41" s="351">
        <f t="shared" si="14"/>
        <v>3800000</v>
      </c>
    </row>
    <row r="42" spans="1:35">
      <c r="A42" s="51" t="s">
        <v>98</v>
      </c>
      <c r="B42" s="51" t="s">
        <v>99</v>
      </c>
      <c r="C42" s="52" t="s">
        <v>109</v>
      </c>
      <c r="D42" s="55">
        <v>0</v>
      </c>
      <c r="E42" s="55">
        <v>10</v>
      </c>
      <c r="F42" s="55">
        <v>20</v>
      </c>
      <c r="G42" s="55">
        <v>25</v>
      </c>
      <c r="H42" s="55">
        <v>30</v>
      </c>
      <c r="I42" s="55">
        <v>40</v>
      </c>
      <c r="J42" s="55">
        <v>44.2</v>
      </c>
      <c r="K42" s="56">
        <v>6.7</v>
      </c>
      <c r="L42" s="56">
        <v>5.5</v>
      </c>
      <c r="M42" s="56">
        <v>4.2</v>
      </c>
      <c r="N42" s="56">
        <v>3.5</v>
      </c>
      <c r="O42" s="56">
        <v>2.7</v>
      </c>
      <c r="P42" s="56">
        <v>1</v>
      </c>
      <c r="Q42" s="56">
        <v>0.3</v>
      </c>
      <c r="R42" s="57" t="s">
        <v>210</v>
      </c>
      <c r="S42" s="57">
        <v>0.99990000000000001</v>
      </c>
      <c r="T42" s="73"/>
      <c r="U42" s="65">
        <f t="shared" si="15"/>
        <v>20</v>
      </c>
      <c r="V42" s="68">
        <f>-0.0008*Q^2-0.1076*Q+6.689</f>
        <v>4.2170000000000005</v>
      </c>
      <c r="W42" s="67" t="str">
        <f t="shared" si="16"/>
        <v/>
      </c>
      <c r="Y42" s="51">
        <v>50</v>
      </c>
      <c r="Z42" s="51" t="s">
        <v>317</v>
      </c>
      <c r="AA42" s="51">
        <v>65</v>
      </c>
      <c r="AB42" s="51" t="s">
        <v>319</v>
      </c>
      <c r="AC42" s="42">
        <v>0.8</v>
      </c>
      <c r="AD42" s="51">
        <v>1450</v>
      </c>
      <c r="AE42" s="51">
        <v>383</v>
      </c>
      <c r="AF42" s="37">
        <v>110</v>
      </c>
      <c r="AG42" s="49" t="s">
        <v>360</v>
      </c>
      <c r="AH42" s="157">
        <f>-0.0176*Q^2+1.0998*Q+53.177</f>
        <v>68.13300000000001</v>
      </c>
      <c r="AI42" s="351">
        <f t="shared" si="14"/>
        <v>3900000</v>
      </c>
    </row>
    <row r="43" spans="1:35">
      <c r="A43" s="51" t="s">
        <v>98</v>
      </c>
      <c r="B43" s="51" t="s">
        <v>99</v>
      </c>
      <c r="C43" s="52" t="s">
        <v>110</v>
      </c>
      <c r="D43" s="55">
        <v>0</v>
      </c>
      <c r="E43" s="55">
        <v>10</v>
      </c>
      <c r="F43" s="55">
        <v>20</v>
      </c>
      <c r="G43" s="55">
        <v>25</v>
      </c>
      <c r="H43" s="55">
        <v>30</v>
      </c>
      <c r="I43" s="55">
        <v>40</v>
      </c>
      <c r="J43" s="55">
        <v>46.3</v>
      </c>
      <c r="K43" s="56">
        <v>8</v>
      </c>
      <c r="L43" s="56">
        <v>6.7</v>
      </c>
      <c r="M43" s="56">
        <v>5.3</v>
      </c>
      <c r="N43" s="56">
        <v>4.6500000000000004</v>
      </c>
      <c r="O43" s="56">
        <v>3.8</v>
      </c>
      <c r="P43" s="56">
        <v>2.2000000000000002</v>
      </c>
      <c r="Q43" s="56">
        <v>1.1000000000000001</v>
      </c>
      <c r="R43" s="57" t="s">
        <v>211</v>
      </c>
      <c r="S43" s="57">
        <v>0.99980000000000002</v>
      </c>
      <c r="T43" s="73"/>
      <c r="U43" s="65">
        <f t="shared" si="15"/>
        <v>20</v>
      </c>
      <c r="V43" s="68">
        <f>-0.0006*Q^2-0.121*Q+7.9886</f>
        <v>5.3285999999999998</v>
      </c>
      <c r="W43" s="67" t="str">
        <f t="shared" si="16"/>
        <v/>
      </c>
      <c r="Y43" s="51">
        <v>50</v>
      </c>
      <c r="Z43" s="51" t="s">
        <v>317</v>
      </c>
      <c r="AA43" s="51">
        <v>65</v>
      </c>
      <c r="AB43" s="51" t="s">
        <v>319</v>
      </c>
      <c r="AC43" s="42">
        <v>0.9</v>
      </c>
      <c r="AD43" s="51">
        <v>1450</v>
      </c>
      <c r="AE43" s="51">
        <v>383</v>
      </c>
      <c r="AF43" s="37">
        <v>110</v>
      </c>
      <c r="AG43" s="49" t="s">
        <v>361</v>
      </c>
      <c r="AH43" s="157">
        <f>-0.0146*Q^2+1.0104*Q+33.436</f>
        <v>47.804000000000002</v>
      </c>
      <c r="AI43" s="351">
        <f t="shared" si="14"/>
        <v>4000000</v>
      </c>
    </row>
    <row r="44" spans="1:35">
      <c r="A44" s="51" t="s">
        <v>98</v>
      </c>
      <c r="B44" s="51" t="s">
        <v>99</v>
      </c>
      <c r="C44" s="52" t="s">
        <v>111</v>
      </c>
      <c r="D44" s="55">
        <v>0</v>
      </c>
      <c r="E44" s="55">
        <v>10</v>
      </c>
      <c r="F44" s="55">
        <v>20</v>
      </c>
      <c r="G44" s="55">
        <v>30</v>
      </c>
      <c r="H44" s="55">
        <v>40</v>
      </c>
      <c r="I44" s="55">
        <v>50</v>
      </c>
      <c r="J44" s="55">
        <v>51.5</v>
      </c>
      <c r="K44" s="56">
        <v>9.6</v>
      </c>
      <c r="L44" s="56">
        <v>8.1</v>
      </c>
      <c r="M44" s="56">
        <v>6.6</v>
      </c>
      <c r="N44" s="56">
        <v>4.9000000000000004</v>
      </c>
      <c r="O44" s="56">
        <v>3.1</v>
      </c>
      <c r="P44" s="56">
        <v>1.3</v>
      </c>
      <c r="Q44" s="56">
        <v>1</v>
      </c>
      <c r="R44" s="57" t="s">
        <v>212</v>
      </c>
      <c r="S44" s="57">
        <v>0.99990000000000001</v>
      </c>
      <c r="T44" s="73"/>
      <c r="U44" s="65">
        <f t="shared" si="15"/>
        <v>20</v>
      </c>
      <c r="V44" s="68">
        <f>-0.0005*Q^2-0.1423*Q+9.5968</f>
        <v>6.5507999999999997</v>
      </c>
      <c r="W44" s="67" t="str">
        <f t="shared" si="16"/>
        <v>OK</v>
      </c>
      <c r="Y44" s="51">
        <v>50</v>
      </c>
      <c r="Z44" s="51" t="s">
        <v>317</v>
      </c>
      <c r="AA44" s="51">
        <v>65</v>
      </c>
      <c r="AB44" s="51" t="s">
        <v>319</v>
      </c>
      <c r="AC44" s="42">
        <v>1.2</v>
      </c>
      <c r="AD44" s="51">
        <v>1450</v>
      </c>
      <c r="AE44" s="51">
        <v>383</v>
      </c>
      <c r="AF44" s="37">
        <v>110</v>
      </c>
      <c r="AG44" s="49" t="s">
        <v>362</v>
      </c>
      <c r="AH44" s="157">
        <f>-0.0125*Q^2+0.9344*Q+38.421</f>
        <v>52.108999999999995</v>
      </c>
      <c r="AI44" s="351">
        <f t="shared" si="14"/>
        <v>4100000</v>
      </c>
    </row>
    <row r="45" spans="1:35">
      <c r="A45" s="51" t="s">
        <v>98</v>
      </c>
      <c r="B45" s="51" t="s">
        <v>99</v>
      </c>
      <c r="C45" s="52" t="s">
        <v>112</v>
      </c>
      <c r="D45" s="55">
        <v>0</v>
      </c>
      <c r="E45" s="55">
        <v>10</v>
      </c>
      <c r="F45" s="55">
        <v>20</v>
      </c>
      <c r="G45" s="55">
        <v>30</v>
      </c>
      <c r="H45" s="55">
        <v>40</v>
      </c>
      <c r="I45" s="55">
        <v>50</v>
      </c>
      <c r="J45" s="55">
        <v>57</v>
      </c>
      <c r="K45" s="56">
        <v>6.9</v>
      </c>
      <c r="L45" s="56">
        <v>6.1</v>
      </c>
      <c r="M45" s="56">
        <v>5.3</v>
      </c>
      <c r="N45" s="56">
        <v>4.4000000000000004</v>
      </c>
      <c r="O45" s="56">
        <v>3.3</v>
      </c>
      <c r="P45" s="56">
        <v>2.0499999999999998</v>
      </c>
      <c r="Q45" s="56">
        <v>1.05</v>
      </c>
      <c r="R45" s="57" t="s">
        <v>213</v>
      </c>
      <c r="S45" s="57">
        <v>0.99960000000000004</v>
      </c>
      <c r="T45" s="73"/>
      <c r="U45" s="65">
        <f t="shared" si="15"/>
        <v>20</v>
      </c>
      <c r="V45" s="68">
        <f>-0.0007*Q^2-0.0624*Q+6.8539</f>
        <v>5.3259000000000007</v>
      </c>
      <c r="W45" s="67" t="str">
        <f t="shared" si="16"/>
        <v/>
      </c>
      <c r="Y45" s="51">
        <v>50</v>
      </c>
      <c r="Z45" s="51" t="s">
        <v>321</v>
      </c>
      <c r="AA45" s="51">
        <v>80</v>
      </c>
      <c r="AB45" s="51" t="s">
        <v>319</v>
      </c>
      <c r="AC45" s="42">
        <v>1.2</v>
      </c>
      <c r="AD45" s="51">
        <v>1450</v>
      </c>
      <c r="AE45" s="51">
        <v>420</v>
      </c>
      <c r="AF45" s="37">
        <v>110</v>
      </c>
      <c r="AG45" s="49" t="s">
        <v>363</v>
      </c>
      <c r="AH45" s="157">
        <f>-0.0124*Q^2+0.9468*Q+43.276</f>
        <v>57.252000000000002</v>
      </c>
      <c r="AI45" s="351">
        <f t="shared" si="14"/>
        <v>4200000</v>
      </c>
    </row>
    <row r="46" spans="1:35">
      <c r="A46" s="51" t="s">
        <v>98</v>
      </c>
      <c r="B46" s="51" t="s">
        <v>99</v>
      </c>
      <c r="C46" s="52" t="s">
        <v>113</v>
      </c>
      <c r="D46" s="55">
        <v>0</v>
      </c>
      <c r="E46" s="55">
        <v>10</v>
      </c>
      <c r="F46" s="55">
        <v>20</v>
      </c>
      <c r="G46" s="55">
        <v>30</v>
      </c>
      <c r="H46" s="55">
        <v>50</v>
      </c>
      <c r="I46" s="55">
        <v>60</v>
      </c>
      <c r="J46" s="55">
        <v>64.8</v>
      </c>
      <c r="K46" s="56">
        <v>8.1999999999999993</v>
      </c>
      <c r="L46" s="56">
        <v>7.3</v>
      </c>
      <c r="M46" s="56">
        <v>6.3</v>
      </c>
      <c r="N46" s="56">
        <v>5.2</v>
      </c>
      <c r="O46" s="56">
        <v>3</v>
      </c>
      <c r="P46" s="56">
        <v>1.8</v>
      </c>
      <c r="Q46" s="56">
        <v>1.2</v>
      </c>
      <c r="R46" s="57" t="s">
        <v>214</v>
      </c>
      <c r="S46" s="57">
        <v>0.99990000000000001</v>
      </c>
      <c r="T46" s="73"/>
      <c r="U46" s="65">
        <f t="shared" si="15"/>
        <v>20</v>
      </c>
      <c r="V46" s="68">
        <f>-0.0003*Q^2-0.0917*Q+8.2174</f>
        <v>6.263399999999999</v>
      </c>
      <c r="W46" s="67" t="str">
        <f t="shared" si="16"/>
        <v>OK</v>
      </c>
      <c r="Y46" s="51">
        <v>50</v>
      </c>
      <c r="Z46" s="51" t="s">
        <v>321</v>
      </c>
      <c r="AA46" s="51">
        <v>80</v>
      </c>
      <c r="AB46" s="51" t="s">
        <v>319</v>
      </c>
      <c r="AC46" s="42">
        <v>1</v>
      </c>
      <c r="AD46" s="51">
        <v>1450</v>
      </c>
      <c r="AE46" s="51">
        <v>420</v>
      </c>
      <c r="AF46" s="37">
        <v>110</v>
      </c>
      <c r="AG46" s="49" t="s">
        <v>364</v>
      </c>
      <c r="AH46" s="157">
        <f>-0.0101*Q^2+0.8729*Q+48.397</f>
        <v>61.814999999999998</v>
      </c>
      <c r="AI46" s="351">
        <f t="shared" si="14"/>
        <v>4300000</v>
      </c>
    </row>
    <row r="47" spans="1:35">
      <c r="A47" s="51" t="s">
        <v>98</v>
      </c>
      <c r="B47" s="51" t="s">
        <v>99</v>
      </c>
      <c r="C47" s="52" t="s">
        <v>114</v>
      </c>
      <c r="D47" s="55">
        <v>0</v>
      </c>
      <c r="E47" s="55">
        <v>10</v>
      </c>
      <c r="F47" s="55">
        <v>20</v>
      </c>
      <c r="G47" s="55">
        <v>30</v>
      </c>
      <c r="H47" s="55">
        <v>40</v>
      </c>
      <c r="I47" s="55">
        <v>50</v>
      </c>
      <c r="J47" s="55">
        <v>55.4</v>
      </c>
      <c r="K47" s="56">
        <v>4.8</v>
      </c>
      <c r="L47" s="56">
        <v>4.5</v>
      </c>
      <c r="M47" s="56">
        <v>4.0999999999999996</v>
      </c>
      <c r="N47" s="56">
        <v>3.6</v>
      </c>
      <c r="O47" s="56">
        <v>2.8</v>
      </c>
      <c r="P47" s="56">
        <v>2</v>
      </c>
      <c r="Q47" s="56">
        <v>1.4</v>
      </c>
      <c r="R47" s="57" t="s">
        <v>215</v>
      </c>
      <c r="S47" s="57">
        <v>0.99929999999999997</v>
      </c>
      <c r="T47" s="73"/>
      <c r="U47" s="65">
        <f t="shared" si="15"/>
        <v>20</v>
      </c>
      <c r="V47" s="68">
        <f>-0.0008*Q^2-0.0177*Q+4.782</f>
        <v>4.1080000000000005</v>
      </c>
      <c r="W47" s="67" t="str">
        <f t="shared" si="16"/>
        <v/>
      </c>
      <c r="Y47" s="51">
        <v>75</v>
      </c>
      <c r="Z47" s="51" t="s">
        <v>321</v>
      </c>
      <c r="AA47" s="51">
        <v>80</v>
      </c>
      <c r="AB47" s="51" t="s">
        <v>319</v>
      </c>
      <c r="AC47" s="42">
        <v>0.8</v>
      </c>
      <c r="AD47" s="51">
        <v>1450</v>
      </c>
      <c r="AE47" s="51">
        <v>530</v>
      </c>
      <c r="AF47" s="37">
        <v>110</v>
      </c>
      <c r="AG47" s="49" t="s">
        <v>365</v>
      </c>
      <c r="AH47" s="157">
        <f>-0.0126*Q^2+0.9507*Q+53.28</f>
        <v>67.254000000000005</v>
      </c>
      <c r="AI47" s="351">
        <f t="shared" si="14"/>
        <v>4400000</v>
      </c>
    </row>
    <row r="48" spans="1:35">
      <c r="A48" s="51" t="s">
        <v>98</v>
      </c>
      <c r="B48" s="51" t="s">
        <v>99</v>
      </c>
      <c r="C48" s="52" t="s">
        <v>115</v>
      </c>
      <c r="D48" s="55">
        <v>0</v>
      </c>
      <c r="E48" s="55">
        <v>10</v>
      </c>
      <c r="F48" s="55">
        <v>20</v>
      </c>
      <c r="G48" s="55">
        <v>30</v>
      </c>
      <c r="H48" s="55">
        <v>50</v>
      </c>
      <c r="I48" s="55">
        <v>70</v>
      </c>
      <c r="J48" s="55">
        <v>72.400000000000006</v>
      </c>
      <c r="K48" s="56">
        <v>6.2</v>
      </c>
      <c r="L48" s="56">
        <v>5.9</v>
      </c>
      <c r="M48" s="56">
        <v>5.6</v>
      </c>
      <c r="N48" s="56">
        <v>5.0999999999999996</v>
      </c>
      <c r="O48" s="56">
        <v>3.8</v>
      </c>
      <c r="P48" s="56">
        <v>2</v>
      </c>
      <c r="Q48" s="56">
        <v>1.8</v>
      </c>
      <c r="R48" s="57" t="s">
        <v>216</v>
      </c>
      <c r="S48" s="58">
        <v>0.99980000000000002</v>
      </c>
      <c r="T48" s="72"/>
      <c r="U48" s="65">
        <f t="shared" si="15"/>
        <v>20</v>
      </c>
      <c r="V48" s="68">
        <f>-0.0006*Q^2-0.0186*Q+6.1832</f>
        <v>5.5712000000000002</v>
      </c>
      <c r="W48" s="67" t="str">
        <f t="shared" si="16"/>
        <v/>
      </c>
      <c r="Y48" s="51">
        <v>75</v>
      </c>
      <c r="Z48" s="51" t="s">
        <v>321</v>
      </c>
      <c r="AA48" s="51">
        <v>80</v>
      </c>
      <c r="AB48" s="51" t="s">
        <v>319</v>
      </c>
      <c r="AC48" s="42">
        <v>1.1000000000000001</v>
      </c>
      <c r="AD48" s="51">
        <v>1450</v>
      </c>
      <c r="AE48" s="51">
        <v>530</v>
      </c>
      <c r="AF48" s="37">
        <v>110</v>
      </c>
      <c r="AG48" s="49" t="s">
        <v>366</v>
      </c>
      <c r="AH48" s="157">
        <f>-0.0079*Q^2+0.7835*Q+33.807</f>
        <v>46.317</v>
      </c>
      <c r="AI48" s="351">
        <f t="shared" si="14"/>
        <v>4500000</v>
      </c>
    </row>
    <row r="49" spans="1:35">
      <c r="A49" s="51" t="s">
        <v>98</v>
      </c>
      <c r="B49" s="51" t="s">
        <v>99</v>
      </c>
      <c r="C49" s="53" t="s">
        <v>116</v>
      </c>
      <c r="D49" s="55">
        <v>0</v>
      </c>
      <c r="E49" s="55">
        <v>10</v>
      </c>
      <c r="F49" s="55">
        <v>20</v>
      </c>
      <c r="G49" s="55">
        <v>30</v>
      </c>
      <c r="H49" s="55">
        <v>40</v>
      </c>
      <c r="I49" s="55">
        <v>50</v>
      </c>
      <c r="J49" s="55">
        <v>53.5</v>
      </c>
      <c r="K49" s="56">
        <v>20</v>
      </c>
      <c r="L49" s="56">
        <v>19.3</v>
      </c>
      <c r="M49" s="56">
        <v>18.7</v>
      </c>
      <c r="N49" s="56">
        <v>18</v>
      </c>
      <c r="O49" s="56">
        <v>17.3</v>
      </c>
      <c r="P49" s="56">
        <v>16.5</v>
      </c>
      <c r="Q49" s="56">
        <v>16.3</v>
      </c>
      <c r="R49" s="57" t="s">
        <v>217</v>
      </c>
      <c r="S49" s="58">
        <v>0.99950000000000006</v>
      </c>
      <c r="T49" s="72"/>
      <c r="U49" s="65">
        <f t="shared" si="15"/>
        <v>20</v>
      </c>
      <c r="V49" s="68">
        <f>-0.0001*Q^2-0.0623*Q+19.98</f>
        <v>18.693999999999999</v>
      </c>
      <c r="W49" s="67" t="str">
        <f t="shared" si="16"/>
        <v/>
      </c>
      <c r="Y49" s="51">
        <v>100</v>
      </c>
      <c r="Z49" s="51" t="s">
        <v>321</v>
      </c>
      <c r="AA49" s="51">
        <v>100</v>
      </c>
      <c r="AB49" s="51" t="s">
        <v>319</v>
      </c>
      <c r="AC49" s="42">
        <v>5.5</v>
      </c>
      <c r="AD49" s="51">
        <v>1450</v>
      </c>
      <c r="AE49" s="51">
        <v>629</v>
      </c>
      <c r="AF49" s="37">
        <v>110</v>
      </c>
      <c r="AG49" s="49" t="s">
        <v>367</v>
      </c>
      <c r="AH49" s="157">
        <f>-0.0127*Q^2+0.9479*Q+38.323</f>
        <v>52.201000000000001</v>
      </c>
      <c r="AI49" s="351">
        <f t="shared" si="14"/>
        <v>4600000</v>
      </c>
    </row>
    <row r="50" spans="1:35">
      <c r="A50" s="51" t="s">
        <v>98</v>
      </c>
      <c r="B50" s="51" t="s">
        <v>99</v>
      </c>
      <c r="C50" s="53" t="s">
        <v>117</v>
      </c>
      <c r="D50" s="59">
        <v>0</v>
      </c>
      <c r="E50" s="59">
        <v>2.5</v>
      </c>
      <c r="F50" s="59">
        <v>5</v>
      </c>
      <c r="G50" s="59">
        <v>7.5</v>
      </c>
      <c r="H50" s="59">
        <v>10</v>
      </c>
      <c r="I50" s="59">
        <v>15</v>
      </c>
      <c r="J50" s="59">
        <v>17.899999999999999</v>
      </c>
      <c r="K50" s="56">
        <v>25</v>
      </c>
      <c r="L50" s="56">
        <v>23.8</v>
      </c>
      <c r="M50" s="56">
        <v>22.5</v>
      </c>
      <c r="N50" s="56">
        <v>21.3</v>
      </c>
      <c r="O50" s="56">
        <v>20</v>
      </c>
      <c r="P50" s="56">
        <v>17</v>
      </c>
      <c r="Q50" s="56">
        <v>15.1</v>
      </c>
      <c r="R50" s="57" t="s">
        <v>218</v>
      </c>
      <c r="S50" s="58">
        <v>0.99980000000000002</v>
      </c>
      <c r="T50" s="72"/>
      <c r="U50" s="65">
        <f t="shared" si="15"/>
        <v>20</v>
      </c>
      <c r="V50" s="68">
        <f>-0.0059*Q^2-0.4436*Q+24.958</f>
        <v>13.725999999999999</v>
      </c>
      <c r="W50" s="67" t="str">
        <f t="shared" si="16"/>
        <v/>
      </c>
      <c r="Y50" s="51">
        <v>25</v>
      </c>
      <c r="Z50" s="51" t="s">
        <v>321</v>
      </c>
      <c r="AA50" s="51">
        <v>50</v>
      </c>
      <c r="AB50" s="51" t="s">
        <v>319</v>
      </c>
      <c r="AC50" s="42">
        <v>1.5</v>
      </c>
      <c r="AD50" s="51">
        <v>2850</v>
      </c>
      <c r="AE50" s="51">
        <v>297</v>
      </c>
      <c r="AF50" s="37">
        <v>110</v>
      </c>
      <c r="AG50" s="49" t="s">
        <v>368</v>
      </c>
      <c r="AH50" s="157">
        <f>-0.1538*Q^2+3.4169*Q+43.557</f>
        <v>50.375</v>
      </c>
      <c r="AI50" s="351">
        <f t="shared" si="14"/>
        <v>4700000</v>
      </c>
    </row>
    <row r="51" spans="1:35">
      <c r="A51" s="51" t="s">
        <v>98</v>
      </c>
      <c r="B51" s="51" t="s">
        <v>99</v>
      </c>
      <c r="C51" s="53" t="s">
        <v>118</v>
      </c>
      <c r="D51" s="59">
        <v>0</v>
      </c>
      <c r="E51" s="59">
        <v>5</v>
      </c>
      <c r="F51" s="59">
        <v>7.5</v>
      </c>
      <c r="G51" s="59">
        <v>10</v>
      </c>
      <c r="H51" s="59">
        <v>15</v>
      </c>
      <c r="I51" s="59">
        <v>20</v>
      </c>
      <c r="J51" s="59">
        <v>24.8</v>
      </c>
      <c r="K51" s="56">
        <v>17.2</v>
      </c>
      <c r="L51" s="56">
        <v>15</v>
      </c>
      <c r="M51" s="56">
        <v>13.8</v>
      </c>
      <c r="N51" s="56">
        <v>12.7</v>
      </c>
      <c r="O51" s="56">
        <v>10.6</v>
      </c>
      <c r="P51" s="56">
        <v>8</v>
      </c>
      <c r="Q51" s="56">
        <v>5.8</v>
      </c>
      <c r="R51" s="57" t="s">
        <v>219</v>
      </c>
      <c r="S51" s="58">
        <v>0.99960000000000004</v>
      </c>
      <c r="T51" s="72"/>
      <c r="U51" s="65">
        <f t="shared" si="15"/>
        <v>20</v>
      </c>
      <c r="V51" s="68">
        <f>-0.0011*Q^2-0.4332*Q+17.18</f>
        <v>8.0760000000000005</v>
      </c>
      <c r="W51" s="67" t="str">
        <f t="shared" si="16"/>
        <v>OK</v>
      </c>
      <c r="Y51" s="51">
        <v>25</v>
      </c>
      <c r="Z51" s="51" t="s">
        <v>321</v>
      </c>
      <c r="AA51" s="51">
        <v>50</v>
      </c>
      <c r="AB51" s="51" t="s">
        <v>319</v>
      </c>
      <c r="AC51" s="42">
        <v>1</v>
      </c>
      <c r="AD51" s="51">
        <v>2850</v>
      </c>
      <c r="AE51" s="51">
        <v>297</v>
      </c>
      <c r="AF51" s="37">
        <v>110</v>
      </c>
      <c r="AG51" s="49" t="s">
        <v>369</v>
      </c>
      <c r="AH51" s="157">
        <f>-0.076*Q^2+2.3971*Q+47.962</f>
        <v>65.504000000000005</v>
      </c>
      <c r="AI51" s="351">
        <f t="shared" si="14"/>
        <v>4800000</v>
      </c>
    </row>
    <row r="52" spans="1:35">
      <c r="A52" s="51" t="s">
        <v>98</v>
      </c>
      <c r="B52" s="51" t="s">
        <v>99</v>
      </c>
      <c r="C52" s="53" t="s">
        <v>119</v>
      </c>
      <c r="D52" s="59">
        <v>0</v>
      </c>
      <c r="E52" s="59">
        <v>2.5</v>
      </c>
      <c r="F52" s="59">
        <v>5</v>
      </c>
      <c r="G52" s="59">
        <v>7.5</v>
      </c>
      <c r="H52" s="59">
        <v>10</v>
      </c>
      <c r="I52" s="59">
        <v>15</v>
      </c>
      <c r="J52" s="59">
        <v>18.8</v>
      </c>
      <c r="K52" s="56">
        <v>13</v>
      </c>
      <c r="L52" s="56">
        <v>11.6</v>
      </c>
      <c r="M52" s="56">
        <v>10.3</v>
      </c>
      <c r="N52" s="56">
        <v>9.1</v>
      </c>
      <c r="O52" s="56">
        <v>7.9</v>
      </c>
      <c r="P52" s="56">
        <v>5.4</v>
      </c>
      <c r="Q52" s="56">
        <v>3.1</v>
      </c>
      <c r="R52" s="57" t="s">
        <v>220</v>
      </c>
      <c r="S52" s="58">
        <v>0.99909999999999999</v>
      </c>
      <c r="T52" s="72"/>
      <c r="U52" s="65">
        <f t="shared" si="15"/>
        <v>20</v>
      </c>
      <c r="V52" s="68">
        <f>-0.0013*Q^2-0.4914*Q+12.898</f>
        <v>2.5500000000000007</v>
      </c>
      <c r="W52" s="67" t="str">
        <f t="shared" si="16"/>
        <v/>
      </c>
      <c r="Y52" s="51">
        <v>25</v>
      </c>
      <c r="Z52" s="51" t="s">
        <v>321</v>
      </c>
      <c r="AA52" s="51">
        <v>50</v>
      </c>
      <c r="AB52" s="51" t="s">
        <v>319</v>
      </c>
      <c r="AC52" s="42">
        <v>0.8</v>
      </c>
      <c r="AD52" s="51">
        <v>2850</v>
      </c>
      <c r="AE52" s="51">
        <v>297</v>
      </c>
      <c r="AF52" s="37">
        <v>110</v>
      </c>
      <c r="AG52" s="49" t="s">
        <v>370</v>
      </c>
      <c r="AH52" s="157">
        <f>-0.143*Q^2+3.2879*Q+53.747</f>
        <v>62.305</v>
      </c>
      <c r="AI52" s="351">
        <f t="shared" si="14"/>
        <v>4900000</v>
      </c>
    </row>
    <row r="53" spans="1:35">
      <c r="A53" s="51" t="s">
        <v>98</v>
      </c>
      <c r="B53" s="51" t="s">
        <v>99</v>
      </c>
      <c r="C53" s="53" t="s">
        <v>120</v>
      </c>
      <c r="D53" s="59">
        <v>0</v>
      </c>
      <c r="E53" s="59">
        <v>5</v>
      </c>
      <c r="F53" s="59">
        <v>10</v>
      </c>
      <c r="G53" s="59">
        <v>15</v>
      </c>
      <c r="H53" s="59">
        <v>20</v>
      </c>
      <c r="I53" s="59">
        <v>25</v>
      </c>
      <c r="J53" s="59">
        <v>30</v>
      </c>
      <c r="K53" s="56">
        <v>24</v>
      </c>
      <c r="L53" s="56">
        <v>22</v>
      </c>
      <c r="M53" s="56">
        <v>20</v>
      </c>
      <c r="N53" s="56">
        <v>18</v>
      </c>
      <c r="O53" s="56">
        <v>16.100000000000001</v>
      </c>
      <c r="P53" s="56">
        <v>14.2</v>
      </c>
      <c r="Q53" s="56">
        <v>12</v>
      </c>
      <c r="R53" s="57" t="s">
        <v>221</v>
      </c>
      <c r="S53" s="58">
        <v>0.99980000000000002</v>
      </c>
      <c r="T53" s="72"/>
      <c r="U53" s="65">
        <f t="shared" si="15"/>
        <v>20</v>
      </c>
      <c r="V53" s="68">
        <f>-0.0001*Q^2-0.3921*Q+23.971</f>
        <v>16.088999999999999</v>
      </c>
      <c r="W53" s="67" t="str">
        <f t="shared" si="16"/>
        <v/>
      </c>
      <c r="Y53" s="51">
        <v>40</v>
      </c>
      <c r="Z53" s="51" t="s">
        <v>321</v>
      </c>
      <c r="AA53" s="51">
        <v>80</v>
      </c>
      <c r="AB53" s="51" t="s">
        <v>319</v>
      </c>
      <c r="AC53" s="42">
        <v>2.2000000000000002</v>
      </c>
      <c r="AD53" s="51">
        <v>2850</v>
      </c>
      <c r="AE53" s="51">
        <v>530</v>
      </c>
      <c r="AF53" s="37">
        <v>110</v>
      </c>
      <c r="AG53" s="49" t="s">
        <v>371</v>
      </c>
      <c r="AH53" s="157">
        <f>-0.0405*Q^2+1.7071*Q+33.69</f>
        <v>51.632000000000005</v>
      </c>
      <c r="AI53" s="351">
        <f t="shared" si="14"/>
        <v>5000000</v>
      </c>
    </row>
    <row r="54" spans="1:35">
      <c r="A54" s="51" t="s">
        <v>98</v>
      </c>
      <c r="B54" s="51" t="s">
        <v>99</v>
      </c>
      <c r="C54" s="53" t="s">
        <v>121</v>
      </c>
      <c r="D54" s="59">
        <v>0</v>
      </c>
      <c r="E54" s="59">
        <v>5</v>
      </c>
      <c r="F54" s="59">
        <v>10</v>
      </c>
      <c r="G54" s="59">
        <v>15</v>
      </c>
      <c r="H54" s="59">
        <v>20</v>
      </c>
      <c r="I54" s="59">
        <v>25</v>
      </c>
      <c r="J54" s="59">
        <v>27.6</v>
      </c>
      <c r="K54" s="56">
        <v>26.4</v>
      </c>
      <c r="L54" s="56">
        <v>24.5</v>
      </c>
      <c r="M54" s="56">
        <v>22.6</v>
      </c>
      <c r="N54" s="56">
        <v>20.5</v>
      </c>
      <c r="O54" s="56">
        <v>18.399999999999999</v>
      </c>
      <c r="P54" s="56">
        <v>16.3</v>
      </c>
      <c r="Q54" s="56">
        <v>15</v>
      </c>
      <c r="R54" s="57" t="s">
        <v>222</v>
      </c>
      <c r="S54" s="58">
        <v>0.99990000000000001</v>
      </c>
      <c r="T54" s="72"/>
      <c r="U54" s="65">
        <f t="shared" si="15"/>
        <v>20</v>
      </c>
      <c r="V54" s="68">
        <f>-0.0016*Q^2-0.3666*Q+26.393</f>
        <v>18.420999999999999</v>
      </c>
      <c r="W54" s="67" t="str">
        <f t="shared" si="16"/>
        <v/>
      </c>
      <c r="Y54" s="51">
        <v>40</v>
      </c>
      <c r="Z54" s="51" t="s">
        <v>321</v>
      </c>
      <c r="AA54" s="51">
        <v>80</v>
      </c>
      <c r="AB54" s="51" t="s">
        <v>319</v>
      </c>
      <c r="AC54" s="42">
        <v>3</v>
      </c>
      <c r="AD54" s="51">
        <v>2850</v>
      </c>
      <c r="AE54" s="51">
        <v>530</v>
      </c>
      <c r="AF54" s="37">
        <v>110</v>
      </c>
      <c r="AG54" s="49" t="s">
        <v>372</v>
      </c>
      <c r="AH54" s="157">
        <f>-0.0506*Q^2+1.9016*Q+38.282</f>
        <v>56.073999999999998</v>
      </c>
      <c r="AI54" s="351">
        <f t="shared" si="14"/>
        <v>5100000</v>
      </c>
    </row>
    <row r="55" spans="1:35">
      <c r="A55" s="51" t="s">
        <v>98</v>
      </c>
      <c r="B55" s="51" t="s">
        <v>99</v>
      </c>
      <c r="C55" s="53" t="s">
        <v>122</v>
      </c>
      <c r="D55" s="59">
        <v>0</v>
      </c>
      <c r="E55" s="59">
        <v>5</v>
      </c>
      <c r="F55" s="59">
        <v>10</v>
      </c>
      <c r="G55" s="59">
        <v>15</v>
      </c>
      <c r="H55" s="59">
        <v>20</v>
      </c>
      <c r="I55" s="59">
        <v>25</v>
      </c>
      <c r="J55" s="59">
        <v>27.8</v>
      </c>
      <c r="K55" s="56">
        <v>15.5</v>
      </c>
      <c r="L55" s="56">
        <v>14</v>
      </c>
      <c r="M55" s="56">
        <v>12.5</v>
      </c>
      <c r="N55" s="56">
        <v>11</v>
      </c>
      <c r="O55" s="56">
        <v>9.5</v>
      </c>
      <c r="P55" s="56">
        <v>8.1999999999999993</v>
      </c>
      <c r="Q55" s="56">
        <v>7.2</v>
      </c>
      <c r="R55" s="57" t="s">
        <v>223</v>
      </c>
      <c r="S55" s="58">
        <v>0.99960000000000004</v>
      </c>
      <c r="T55" s="72"/>
      <c r="U55" s="65">
        <f t="shared" si="15"/>
        <v>20</v>
      </c>
      <c r="V55" s="68">
        <f>0.0002*Q^2-0.3026*Q+15.5</f>
        <v>9.5280000000000005</v>
      </c>
      <c r="W55" s="67" t="str">
        <f t="shared" si="16"/>
        <v/>
      </c>
      <c r="Y55" s="51">
        <v>30</v>
      </c>
      <c r="Z55" s="51" t="s">
        <v>321</v>
      </c>
      <c r="AA55" s="51">
        <v>80</v>
      </c>
      <c r="AB55" s="51" t="s">
        <v>319</v>
      </c>
      <c r="AC55" s="42">
        <v>1.5</v>
      </c>
      <c r="AD55" s="51">
        <v>2850</v>
      </c>
      <c r="AE55" s="51">
        <v>530</v>
      </c>
      <c r="AF55" s="37">
        <v>110</v>
      </c>
      <c r="AG55" s="49" t="s">
        <v>373</v>
      </c>
      <c r="AH55" s="157">
        <f>-0.0505*Q^2+1.9009*Q+43.278</f>
        <v>61.095999999999997</v>
      </c>
      <c r="AI55" s="351">
        <f t="shared" si="14"/>
        <v>5200000</v>
      </c>
    </row>
    <row r="56" spans="1:35">
      <c r="A56" s="51" t="s">
        <v>98</v>
      </c>
      <c r="B56" s="51" t="s">
        <v>99</v>
      </c>
      <c r="C56" s="53" t="s">
        <v>123</v>
      </c>
      <c r="D56" s="59">
        <v>0</v>
      </c>
      <c r="E56" s="59">
        <v>10</v>
      </c>
      <c r="F56" s="59">
        <v>15</v>
      </c>
      <c r="G56" s="59">
        <v>20</v>
      </c>
      <c r="H56" s="59">
        <v>30</v>
      </c>
      <c r="I56" s="59">
        <v>40</v>
      </c>
      <c r="J56" s="59">
        <v>44.39</v>
      </c>
      <c r="K56" s="60">
        <v>19.5</v>
      </c>
      <c r="L56" s="60">
        <v>16.100000000000001</v>
      </c>
      <c r="M56" s="60">
        <v>14.2</v>
      </c>
      <c r="N56" s="60">
        <v>12.3</v>
      </c>
      <c r="O56" s="60">
        <v>8.1</v>
      </c>
      <c r="P56" s="60">
        <v>3.4</v>
      </c>
      <c r="Q56" s="60">
        <v>1.25</v>
      </c>
      <c r="R56" s="57" t="s">
        <v>224</v>
      </c>
      <c r="S56" s="58">
        <v>1</v>
      </c>
      <c r="T56" s="72"/>
      <c r="U56" s="65">
        <f t="shared" si="15"/>
        <v>20</v>
      </c>
      <c r="V56" s="68">
        <f>-0.0021*Q^2-0.3184*Q+19.489</f>
        <v>12.281000000000001</v>
      </c>
      <c r="W56" s="67" t="str">
        <f t="shared" si="16"/>
        <v/>
      </c>
      <c r="Y56" s="51">
        <v>30</v>
      </c>
      <c r="Z56" s="51" t="s">
        <v>317</v>
      </c>
      <c r="AA56" s="51">
        <v>65</v>
      </c>
      <c r="AB56" s="51" t="s">
        <v>319</v>
      </c>
      <c r="AC56" s="42">
        <v>1.3</v>
      </c>
      <c r="AD56" s="51">
        <v>2850</v>
      </c>
      <c r="AE56" s="51">
        <v>383</v>
      </c>
      <c r="AF56" s="37">
        <v>110</v>
      </c>
      <c r="AG56" s="49" t="s">
        <v>374</v>
      </c>
      <c r="AH56" s="157">
        <f>-0.0211*Q^2+1.2537*Q+47.794</f>
        <v>64.427999999999997</v>
      </c>
      <c r="AI56" s="351">
        <f t="shared" si="14"/>
        <v>5300000</v>
      </c>
    </row>
    <row r="57" spans="1:35">
      <c r="A57" s="51" t="s">
        <v>98</v>
      </c>
      <c r="B57" s="51" t="s">
        <v>99</v>
      </c>
      <c r="C57" s="53" t="s">
        <v>124</v>
      </c>
      <c r="D57" s="59">
        <v>0</v>
      </c>
      <c r="E57" s="59">
        <v>10</v>
      </c>
      <c r="F57" s="59">
        <v>20</v>
      </c>
      <c r="G57" s="59">
        <v>30</v>
      </c>
      <c r="H57" s="59">
        <v>40</v>
      </c>
      <c r="I57" s="59">
        <v>50</v>
      </c>
      <c r="J57" s="59">
        <v>58.3</v>
      </c>
      <c r="K57" s="60">
        <v>19.899999999999999</v>
      </c>
      <c r="L57" s="60">
        <v>17.5</v>
      </c>
      <c r="M57" s="60">
        <v>14.9</v>
      </c>
      <c r="N57" s="60">
        <v>12</v>
      </c>
      <c r="O57" s="60">
        <v>8.9</v>
      </c>
      <c r="P57" s="60">
        <v>5.6</v>
      </c>
      <c r="Q57" s="60">
        <v>2.6</v>
      </c>
      <c r="R57" s="57" t="s">
        <v>225</v>
      </c>
      <c r="S57" s="58">
        <v>1</v>
      </c>
      <c r="T57" s="72"/>
      <c r="U57" s="65">
        <f t="shared" si="15"/>
        <v>20</v>
      </c>
      <c r="V57" s="68">
        <f>-0.0012*Q^2-0.227*Q+19.898</f>
        <v>14.878</v>
      </c>
      <c r="W57" s="67" t="str">
        <f t="shared" si="16"/>
        <v/>
      </c>
      <c r="Y57" s="51">
        <v>40</v>
      </c>
      <c r="Z57" s="51" t="s">
        <v>317</v>
      </c>
      <c r="AA57" s="51">
        <v>65</v>
      </c>
      <c r="AB57" s="51" t="s">
        <v>319</v>
      </c>
      <c r="AC57" s="42">
        <v>2</v>
      </c>
      <c r="AD57" s="51">
        <v>2850</v>
      </c>
      <c r="AE57" s="51">
        <v>383</v>
      </c>
      <c r="AF57" s="37">
        <v>110</v>
      </c>
      <c r="AG57" s="49" t="s">
        <v>375</v>
      </c>
      <c r="AH57" s="157">
        <f>-0.0122*Q^2+0.9404*Q+53.292</f>
        <v>67.22</v>
      </c>
      <c r="AI57" s="351">
        <f t="shared" si="14"/>
        <v>5400000</v>
      </c>
    </row>
    <row r="58" spans="1:35">
      <c r="A58" s="51" t="s">
        <v>98</v>
      </c>
      <c r="B58" s="51" t="s">
        <v>99</v>
      </c>
      <c r="C58" s="53" t="s">
        <v>125</v>
      </c>
      <c r="D58" s="59">
        <v>0</v>
      </c>
      <c r="E58" s="59">
        <v>10</v>
      </c>
      <c r="F58" s="59">
        <v>20</v>
      </c>
      <c r="G58" s="59">
        <v>30</v>
      </c>
      <c r="H58" s="59">
        <v>40</v>
      </c>
      <c r="I58" s="59">
        <v>50</v>
      </c>
      <c r="J58" s="59">
        <v>53.1</v>
      </c>
      <c r="K58" s="60">
        <v>18.100000000000001</v>
      </c>
      <c r="L58" s="60">
        <v>15</v>
      </c>
      <c r="M58" s="60">
        <v>11.9</v>
      </c>
      <c r="N58" s="60">
        <v>8.6999999999999993</v>
      </c>
      <c r="O58" s="60">
        <v>5.4</v>
      </c>
      <c r="P58" s="60">
        <v>2.1</v>
      </c>
      <c r="Q58" s="60">
        <v>1</v>
      </c>
      <c r="R58" s="57" t="s">
        <v>226</v>
      </c>
      <c r="S58" s="58">
        <v>1</v>
      </c>
      <c r="T58" s="72"/>
      <c r="U58" s="65">
        <f t="shared" si="15"/>
        <v>20</v>
      </c>
      <c r="V58" s="68">
        <f>-0.0003*Q^2-0.3029*Q+18.088</f>
        <v>11.91</v>
      </c>
      <c r="W58" s="67" t="str">
        <f t="shared" si="16"/>
        <v/>
      </c>
      <c r="Y58" s="51">
        <v>40</v>
      </c>
      <c r="Z58" s="51" t="s">
        <v>317</v>
      </c>
      <c r="AA58" s="51">
        <v>65</v>
      </c>
      <c r="AB58" s="51" t="s">
        <v>319</v>
      </c>
      <c r="AC58" s="42">
        <v>1.8</v>
      </c>
      <c r="AD58" s="51">
        <v>2850</v>
      </c>
      <c r="AE58" s="51">
        <v>383</v>
      </c>
      <c r="AF58" s="37">
        <v>110</v>
      </c>
      <c r="AG58" s="49" t="s">
        <v>376</v>
      </c>
      <c r="AH58" s="157">
        <f>-0.0127*Q^2+0.9461*Q+38.338</f>
        <v>52.18</v>
      </c>
      <c r="AI58" s="351">
        <f t="shared" si="14"/>
        <v>5500000</v>
      </c>
    </row>
    <row r="59" spans="1:35">
      <c r="A59" s="54" t="s">
        <v>98</v>
      </c>
      <c r="B59" s="54" t="s">
        <v>99</v>
      </c>
      <c r="C59" s="53" t="s">
        <v>126</v>
      </c>
      <c r="D59" s="59">
        <v>0</v>
      </c>
      <c r="E59" s="59">
        <v>10</v>
      </c>
      <c r="F59" s="59">
        <v>20</v>
      </c>
      <c r="G59" s="59">
        <v>30</v>
      </c>
      <c r="H59" s="59">
        <v>40</v>
      </c>
      <c r="I59" s="59">
        <v>50</v>
      </c>
      <c r="J59" s="59">
        <v>55.8</v>
      </c>
      <c r="K59" s="60">
        <v>65.400000000000006</v>
      </c>
      <c r="L59" s="60">
        <v>62.5</v>
      </c>
      <c r="M59" s="60">
        <v>59.5</v>
      </c>
      <c r="N59" s="60">
        <v>56.3</v>
      </c>
      <c r="O59" s="60">
        <v>53</v>
      </c>
      <c r="P59" s="60">
        <v>49.6</v>
      </c>
      <c r="Q59" s="60">
        <v>47.6</v>
      </c>
      <c r="R59" s="57" t="s">
        <v>227</v>
      </c>
      <c r="S59" s="58">
        <v>1</v>
      </c>
      <c r="T59" s="72"/>
      <c r="U59" s="65">
        <f t="shared" si="15"/>
        <v>20</v>
      </c>
      <c r="V59" s="68">
        <f>-0.0006*Q^2-0.2847*Q+65.41</f>
        <v>59.475999999999999</v>
      </c>
      <c r="W59" s="67" t="str">
        <f t="shared" si="16"/>
        <v/>
      </c>
      <c r="Y59" s="51">
        <v>40</v>
      </c>
      <c r="Z59" s="51" t="s">
        <v>321</v>
      </c>
      <c r="AA59" s="51">
        <v>80</v>
      </c>
      <c r="AB59" s="51" t="s">
        <v>319</v>
      </c>
      <c r="AC59" s="42">
        <v>15.2</v>
      </c>
      <c r="AD59" s="51">
        <v>2850</v>
      </c>
      <c r="AE59" s="51">
        <v>608</v>
      </c>
      <c r="AF59" s="37">
        <v>110</v>
      </c>
      <c r="AG59" s="49" t="s">
        <v>377</v>
      </c>
      <c r="AH59" s="157">
        <f>-0.0126*Q^2+0.9502*Q+43.276</f>
        <v>57.240000000000009</v>
      </c>
      <c r="AI59" s="351">
        <f t="shared" si="14"/>
        <v>5600000</v>
      </c>
    </row>
    <row r="60" spans="1:35">
      <c r="A60" s="9" t="s">
        <v>127</v>
      </c>
      <c r="B60" s="9" t="s">
        <v>128</v>
      </c>
      <c r="C60" s="9" t="s">
        <v>129</v>
      </c>
      <c r="D60" s="59">
        <v>0</v>
      </c>
      <c r="E60" s="59">
        <v>3</v>
      </c>
      <c r="F60" s="59">
        <v>6</v>
      </c>
      <c r="G60" s="59">
        <v>9</v>
      </c>
      <c r="H60" s="59">
        <v>12</v>
      </c>
      <c r="I60" s="59">
        <v>15</v>
      </c>
      <c r="J60" s="59"/>
      <c r="K60" s="60">
        <v>8</v>
      </c>
      <c r="L60" s="60">
        <v>6.9</v>
      </c>
      <c r="M60" s="60">
        <v>5.8</v>
      </c>
      <c r="N60" s="60">
        <v>4.5999999999999996</v>
      </c>
      <c r="O60" s="60">
        <v>3.2</v>
      </c>
      <c r="P60" s="60">
        <v>1.8</v>
      </c>
      <c r="Q60" s="60"/>
      <c r="R60" s="9" t="s">
        <v>228</v>
      </c>
      <c r="S60" s="61">
        <v>0.99980000000000002</v>
      </c>
      <c r="T60" s="70"/>
      <c r="U60" s="65">
        <f t="shared" si="15"/>
        <v>20</v>
      </c>
      <c r="V60" s="67">
        <f>-0.0054*Q^2-0.332*Q+7.9821</f>
        <v>-0.81790000000000074</v>
      </c>
      <c r="W60" s="67" t="str">
        <f t="shared" si="16"/>
        <v/>
      </c>
      <c r="Y60" s="9">
        <v>30</v>
      </c>
      <c r="Z60" s="9" t="s">
        <v>317</v>
      </c>
      <c r="AA60" s="9">
        <v>40</v>
      </c>
      <c r="AB60" s="9" t="s">
        <v>318</v>
      </c>
      <c r="AC60" s="9">
        <v>0.4</v>
      </c>
      <c r="AD60" s="40">
        <v>2900</v>
      </c>
      <c r="AE60" s="40">
        <v>400</v>
      </c>
      <c r="AF60" s="37">
        <v>110</v>
      </c>
      <c r="AG60" s="49" t="s">
        <v>378</v>
      </c>
      <c r="AH60" s="157">
        <f>-0.1885*Q^2+5.0655*Q+28.393</f>
        <v>54.302999999999997</v>
      </c>
      <c r="AI60" s="351">
        <v>3000000</v>
      </c>
    </row>
    <row r="61" spans="1:35">
      <c r="A61" s="9" t="s">
        <v>127</v>
      </c>
      <c r="B61" s="9" t="s">
        <v>128</v>
      </c>
      <c r="C61" s="9" t="s">
        <v>130</v>
      </c>
      <c r="D61" s="59">
        <v>0</v>
      </c>
      <c r="E61" s="59">
        <v>3</v>
      </c>
      <c r="F61" s="59">
        <v>6</v>
      </c>
      <c r="G61" s="59">
        <v>9</v>
      </c>
      <c r="H61" s="59">
        <v>12</v>
      </c>
      <c r="I61" s="59">
        <v>15</v>
      </c>
      <c r="J61" s="59">
        <v>18</v>
      </c>
      <c r="K61" s="60">
        <v>10</v>
      </c>
      <c r="L61" s="60">
        <v>8.6999999999999993</v>
      </c>
      <c r="M61" s="60">
        <v>7.4</v>
      </c>
      <c r="N61" s="60">
        <v>6</v>
      </c>
      <c r="O61" s="60">
        <v>4.75</v>
      </c>
      <c r="P61" s="60">
        <v>3.3</v>
      </c>
      <c r="Q61" s="60">
        <v>1.6</v>
      </c>
      <c r="R61" s="9" t="s">
        <v>229</v>
      </c>
      <c r="S61" s="61">
        <v>0.99939999999999996</v>
      </c>
      <c r="T61" s="70"/>
      <c r="U61" s="65">
        <f t="shared" si="15"/>
        <v>20</v>
      </c>
      <c r="V61" s="67">
        <f>-0.0032*Q^2-0.4018*Q+9.9595</f>
        <v>0.64350000000000129</v>
      </c>
      <c r="W61" s="67" t="str">
        <f t="shared" si="16"/>
        <v/>
      </c>
      <c r="Y61" s="9">
        <v>30</v>
      </c>
      <c r="Z61" s="9" t="s">
        <v>317</v>
      </c>
      <c r="AA61" s="9">
        <v>40</v>
      </c>
      <c r="AB61" s="9" t="s">
        <v>318</v>
      </c>
      <c r="AC61" s="9">
        <v>0.4</v>
      </c>
      <c r="AD61" s="40">
        <v>2900</v>
      </c>
      <c r="AE61" s="40">
        <v>400</v>
      </c>
      <c r="AF61" s="37">
        <v>110</v>
      </c>
      <c r="AG61" s="49" t="s">
        <v>379</v>
      </c>
      <c r="AH61" s="157">
        <f>-0.2447*Q^2+5.7738*Q+32.381</f>
        <v>49.977000000000004</v>
      </c>
      <c r="AI61" s="351">
        <f t="shared" si="14"/>
        <v>3100000</v>
      </c>
    </row>
    <row r="62" spans="1:35">
      <c r="A62" s="9" t="s">
        <v>127</v>
      </c>
      <c r="B62" s="9" t="s">
        <v>128</v>
      </c>
      <c r="C62" s="9" t="s">
        <v>131</v>
      </c>
      <c r="D62" s="59">
        <v>0</v>
      </c>
      <c r="E62" s="59">
        <v>3</v>
      </c>
      <c r="F62" s="59">
        <v>6</v>
      </c>
      <c r="G62" s="59">
        <v>9</v>
      </c>
      <c r="H62" s="59">
        <v>12</v>
      </c>
      <c r="I62" s="59">
        <v>18</v>
      </c>
      <c r="J62" s="59">
        <v>24</v>
      </c>
      <c r="K62" s="60">
        <v>7.2</v>
      </c>
      <c r="L62" s="60">
        <v>6.8</v>
      </c>
      <c r="M62" s="60">
        <v>6.2</v>
      </c>
      <c r="N62" s="60">
        <v>5.5</v>
      </c>
      <c r="O62" s="60">
        <v>4.8</v>
      </c>
      <c r="P62" s="60">
        <v>3.3</v>
      </c>
      <c r="Q62" s="60">
        <v>1.6</v>
      </c>
      <c r="R62" s="9" t="s">
        <v>230</v>
      </c>
      <c r="S62" s="61">
        <v>0.99950000000000006</v>
      </c>
      <c r="T62" s="70"/>
      <c r="U62" s="65">
        <f t="shared" si="15"/>
        <v>20</v>
      </c>
      <c r="V62" s="67">
        <f>-0.0029*Q^2-0.1676*Q+7.2609</f>
        <v>2.7489000000000008</v>
      </c>
      <c r="W62" s="67" t="str">
        <f t="shared" si="16"/>
        <v/>
      </c>
      <c r="Y62" s="9">
        <v>46</v>
      </c>
      <c r="Z62" s="9" t="s">
        <v>317</v>
      </c>
      <c r="AA62" s="9">
        <v>50</v>
      </c>
      <c r="AB62" s="9" t="s">
        <v>318</v>
      </c>
      <c r="AC62" s="9">
        <v>0.6</v>
      </c>
      <c r="AD62" s="40">
        <v>2900</v>
      </c>
      <c r="AE62" s="40">
        <v>400</v>
      </c>
      <c r="AF62" s="37">
        <v>110</v>
      </c>
      <c r="AG62" s="49" t="s">
        <v>380</v>
      </c>
      <c r="AH62" s="157">
        <f>-0.1641*Q^2+4.8038*Q+38.74</f>
        <v>69.175999999999988</v>
      </c>
      <c r="AI62" s="351">
        <f t="shared" si="14"/>
        <v>3200000</v>
      </c>
    </row>
    <row r="63" spans="1:35">
      <c r="A63" s="9" t="s">
        <v>127</v>
      </c>
      <c r="B63" s="9" t="s">
        <v>128</v>
      </c>
      <c r="C63" s="9" t="s">
        <v>132</v>
      </c>
      <c r="D63" s="59">
        <v>0</v>
      </c>
      <c r="E63" s="59">
        <v>3</v>
      </c>
      <c r="F63" s="59">
        <v>6</v>
      </c>
      <c r="G63" s="59">
        <v>9</v>
      </c>
      <c r="H63" s="59">
        <v>15</v>
      </c>
      <c r="I63" s="59">
        <v>24</v>
      </c>
      <c r="J63" s="59">
        <v>30</v>
      </c>
      <c r="K63" s="60">
        <v>11.2</v>
      </c>
      <c r="L63" s="60">
        <v>10.8</v>
      </c>
      <c r="M63" s="60">
        <v>10</v>
      </c>
      <c r="N63" s="60">
        <v>9.1</v>
      </c>
      <c r="O63" s="60">
        <v>7</v>
      </c>
      <c r="P63" s="60">
        <v>3.5</v>
      </c>
      <c r="Q63" s="60">
        <v>1.8</v>
      </c>
      <c r="R63" s="9" t="s">
        <v>231</v>
      </c>
      <c r="S63" s="61">
        <v>0.99570000000000003</v>
      </c>
      <c r="T63" s="70"/>
      <c r="U63" s="65">
        <f t="shared" si="15"/>
        <v>20</v>
      </c>
      <c r="V63" s="67">
        <f>-0.0024*Q^2-0.2596*Q+11.469</f>
        <v>5.3169999999999993</v>
      </c>
      <c r="W63" s="67" t="str">
        <f t="shared" si="16"/>
        <v/>
      </c>
      <c r="Y63" s="9">
        <v>46</v>
      </c>
      <c r="Z63" s="9" t="s">
        <v>317</v>
      </c>
      <c r="AA63" s="9">
        <v>50</v>
      </c>
      <c r="AB63" s="9" t="s">
        <v>318</v>
      </c>
      <c r="AC63" s="9">
        <v>1.1000000000000001</v>
      </c>
      <c r="AD63" s="40">
        <v>2900</v>
      </c>
      <c r="AE63" s="40">
        <v>400</v>
      </c>
      <c r="AF63" s="37">
        <v>110</v>
      </c>
      <c r="AG63" s="49" t="s">
        <v>381</v>
      </c>
      <c r="AH63" s="157">
        <f>-0.1153*Q^2+4.0934*Q+44.927</f>
        <v>80.674999999999997</v>
      </c>
      <c r="AI63" s="351">
        <f t="shared" si="14"/>
        <v>3300000</v>
      </c>
    </row>
    <row r="64" spans="1:35">
      <c r="A64" s="9" t="s">
        <v>127</v>
      </c>
      <c r="B64" s="9" t="s">
        <v>128</v>
      </c>
      <c r="C64" s="9" t="s">
        <v>133</v>
      </c>
      <c r="D64" s="59">
        <v>0</v>
      </c>
      <c r="E64" s="59">
        <v>6</v>
      </c>
      <c r="F64" s="59">
        <v>9</v>
      </c>
      <c r="G64" s="59">
        <v>12</v>
      </c>
      <c r="H64" s="59">
        <v>15</v>
      </c>
      <c r="I64" s="59">
        <v>24</v>
      </c>
      <c r="J64" s="59">
        <v>30</v>
      </c>
      <c r="K64" s="60">
        <v>13.9</v>
      </c>
      <c r="L64" s="60">
        <v>12</v>
      </c>
      <c r="M64" s="60">
        <v>11</v>
      </c>
      <c r="N64" s="60">
        <v>9.9</v>
      </c>
      <c r="O64" s="60">
        <v>8.9</v>
      </c>
      <c r="P64" s="60">
        <v>5.7</v>
      </c>
      <c r="Q64" s="60">
        <v>3.4</v>
      </c>
      <c r="R64" s="9" t="s">
        <v>232</v>
      </c>
      <c r="S64" s="61">
        <v>0.99990000000000001</v>
      </c>
      <c r="T64" s="70"/>
      <c r="U64" s="65">
        <f t="shared" si="15"/>
        <v>20</v>
      </c>
      <c r="V64" s="67">
        <f>-0.0011*Q^2-0.3167*Q+13.912</f>
        <v>7.1380000000000008</v>
      </c>
      <c r="W64" s="67" t="str">
        <f t="shared" si="16"/>
        <v>OK</v>
      </c>
      <c r="Y64" s="9">
        <v>38</v>
      </c>
      <c r="Z64" s="9" t="s">
        <v>317</v>
      </c>
      <c r="AA64" s="9">
        <v>50</v>
      </c>
      <c r="AB64" s="9" t="s">
        <v>318</v>
      </c>
      <c r="AC64" s="9">
        <v>1.1000000000000001</v>
      </c>
      <c r="AD64" s="40">
        <v>2900</v>
      </c>
      <c r="AE64" s="40">
        <v>400</v>
      </c>
      <c r="AF64" s="37">
        <v>110</v>
      </c>
      <c r="AG64" s="49" t="s">
        <v>382</v>
      </c>
      <c r="AH64" s="157">
        <f>-0.0991*Q^2+3.7729*Q+26.751</f>
        <v>62.569000000000003</v>
      </c>
      <c r="AI64" s="351">
        <f t="shared" si="14"/>
        <v>3400000</v>
      </c>
    </row>
    <row r="65" spans="1:35">
      <c r="A65" s="9" t="s">
        <v>127</v>
      </c>
      <c r="B65" s="9" t="s">
        <v>128</v>
      </c>
      <c r="C65" s="9" t="s">
        <v>134</v>
      </c>
      <c r="D65" s="59">
        <v>0</v>
      </c>
      <c r="E65" s="59">
        <v>6</v>
      </c>
      <c r="F65" s="59">
        <v>9</v>
      </c>
      <c r="G65" s="59">
        <v>12</v>
      </c>
      <c r="H65" s="59">
        <v>15</v>
      </c>
      <c r="I65" s="59">
        <v>24</v>
      </c>
      <c r="J65" s="59">
        <v>30</v>
      </c>
      <c r="K65" s="60">
        <v>15.5</v>
      </c>
      <c r="L65" s="60">
        <v>13.7</v>
      </c>
      <c r="M65" s="60">
        <v>12.8</v>
      </c>
      <c r="N65" s="60">
        <v>11.8</v>
      </c>
      <c r="O65" s="60">
        <v>10.7</v>
      </c>
      <c r="P65" s="60">
        <v>7.3</v>
      </c>
      <c r="Q65" s="60">
        <v>4.5</v>
      </c>
      <c r="R65" s="9" t="s">
        <v>233</v>
      </c>
      <c r="S65" s="61">
        <v>0.99980000000000002</v>
      </c>
      <c r="T65" s="70"/>
      <c r="U65" s="65">
        <f t="shared" si="15"/>
        <v>20</v>
      </c>
      <c r="V65" s="67">
        <f>-0.0032*Q^2-0.267*Q+15.465</f>
        <v>8.8449999999999989</v>
      </c>
      <c r="W65" s="67" t="str">
        <f t="shared" si="16"/>
        <v/>
      </c>
      <c r="Y65" s="9">
        <v>38</v>
      </c>
      <c r="Z65" s="9" t="s">
        <v>317</v>
      </c>
      <c r="AA65" s="9">
        <v>50</v>
      </c>
      <c r="AB65" s="9" t="s">
        <v>319</v>
      </c>
      <c r="AC65" s="9">
        <v>1.5</v>
      </c>
      <c r="AD65" s="40">
        <v>2900</v>
      </c>
      <c r="AE65" s="40">
        <v>400</v>
      </c>
      <c r="AF65" s="37">
        <v>110</v>
      </c>
      <c r="AG65" s="49" t="s">
        <v>383</v>
      </c>
      <c r="AH65" s="157">
        <f>-0.0991*Q^2+3.7729*Q+31.751</f>
        <v>67.569000000000003</v>
      </c>
      <c r="AI65" s="351">
        <f t="shared" si="14"/>
        <v>3500000</v>
      </c>
    </row>
    <row r="66" spans="1:35">
      <c r="A66" s="9" t="s">
        <v>127</v>
      </c>
      <c r="B66" s="9" t="s">
        <v>128</v>
      </c>
      <c r="C66" s="9" t="s">
        <v>135</v>
      </c>
      <c r="D66" s="59">
        <v>0</v>
      </c>
      <c r="E66" s="59">
        <v>3</v>
      </c>
      <c r="F66" s="59">
        <v>6</v>
      </c>
      <c r="G66" s="59">
        <v>12</v>
      </c>
      <c r="H66" s="59">
        <v>18</v>
      </c>
      <c r="I66" s="59">
        <v>24</v>
      </c>
      <c r="J66" s="59">
        <v>36</v>
      </c>
      <c r="K66" s="60">
        <v>12.5</v>
      </c>
      <c r="L66" s="60">
        <v>11.5</v>
      </c>
      <c r="M66" s="60">
        <v>10.5</v>
      </c>
      <c r="N66" s="60">
        <v>8</v>
      </c>
      <c r="O66" s="60">
        <v>5.8</v>
      </c>
      <c r="P66" s="60">
        <v>3.6</v>
      </c>
      <c r="Q66" s="60"/>
      <c r="R66" s="9" t="s">
        <v>234</v>
      </c>
      <c r="S66" s="61">
        <v>0.99929999999999997</v>
      </c>
      <c r="T66" s="70"/>
      <c r="U66" s="65">
        <f t="shared" si="15"/>
        <v>20</v>
      </c>
      <c r="V66" s="67">
        <f>-0.0002*Q^2-0.3714*Q+12.583</f>
        <v>5.0750000000000002</v>
      </c>
      <c r="W66" s="67" t="str">
        <f t="shared" si="16"/>
        <v/>
      </c>
      <c r="Y66" s="9">
        <v>42</v>
      </c>
      <c r="Z66" s="9" t="s">
        <v>321</v>
      </c>
      <c r="AA66" s="9">
        <v>50</v>
      </c>
      <c r="AB66" s="9" t="s">
        <v>318</v>
      </c>
      <c r="AC66" s="9">
        <v>1.1000000000000001</v>
      </c>
      <c r="AD66" s="40">
        <v>2900</v>
      </c>
      <c r="AE66" s="40">
        <v>400</v>
      </c>
      <c r="AF66" s="37">
        <v>110</v>
      </c>
      <c r="AG66" s="49" t="s">
        <v>384</v>
      </c>
      <c r="AH66" s="157">
        <f>-0.073*Q^2+3.1002*Q+41.757</f>
        <v>74.561000000000007</v>
      </c>
      <c r="AI66" s="351">
        <f t="shared" si="14"/>
        <v>3600000</v>
      </c>
    </row>
    <row r="67" spans="1:35">
      <c r="A67" s="9" t="s">
        <v>127</v>
      </c>
      <c r="B67" s="9" t="s">
        <v>128</v>
      </c>
      <c r="C67" s="9" t="s">
        <v>136</v>
      </c>
      <c r="D67" s="59">
        <v>0</v>
      </c>
      <c r="E67" s="59">
        <v>3</v>
      </c>
      <c r="F67" s="59">
        <v>6</v>
      </c>
      <c r="G67" s="59">
        <v>12</v>
      </c>
      <c r="H67" s="59">
        <v>18</v>
      </c>
      <c r="I67" s="59">
        <v>24</v>
      </c>
      <c r="J67" s="59">
        <v>36</v>
      </c>
      <c r="K67" s="60">
        <v>12.5</v>
      </c>
      <c r="L67" s="60">
        <v>11.5</v>
      </c>
      <c r="M67" s="60">
        <v>10.5</v>
      </c>
      <c r="N67" s="60">
        <v>8</v>
      </c>
      <c r="O67" s="60">
        <v>5.8</v>
      </c>
      <c r="P67" s="60">
        <v>3.6</v>
      </c>
      <c r="Q67" s="60"/>
      <c r="R67" s="9" t="s">
        <v>234</v>
      </c>
      <c r="S67" s="61">
        <v>0.99929999999999997</v>
      </c>
      <c r="T67" s="70"/>
      <c r="U67" s="65">
        <f t="shared" si="15"/>
        <v>20</v>
      </c>
      <c r="V67" s="67">
        <f>-0.0002*Q^2-0.3714*Q+12.583</f>
        <v>5.0750000000000002</v>
      </c>
      <c r="W67" s="67" t="str">
        <f t="shared" si="16"/>
        <v/>
      </c>
      <c r="Y67" s="9">
        <v>42</v>
      </c>
      <c r="Z67" s="9" t="s">
        <v>321</v>
      </c>
      <c r="AA67" s="9">
        <v>50</v>
      </c>
      <c r="AB67" s="9" t="s">
        <v>319</v>
      </c>
      <c r="AC67" s="9">
        <v>1.1000000000000001</v>
      </c>
      <c r="AD67" s="40">
        <v>2900</v>
      </c>
      <c r="AE67" s="40">
        <v>400</v>
      </c>
      <c r="AF67" s="37">
        <v>110</v>
      </c>
      <c r="AG67" s="49" t="s">
        <v>385</v>
      </c>
      <c r="AH67" s="157">
        <f>-0.073*Q^2+3.1002*Q+46.757</f>
        <v>79.561000000000007</v>
      </c>
      <c r="AI67" s="351">
        <f t="shared" si="14"/>
        <v>3700000</v>
      </c>
    </row>
    <row r="68" spans="1:35">
      <c r="A68" s="9" t="s">
        <v>127</v>
      </c>
      <c r="B68" s="9" t="s">
        <v>128</v>
      </c>
      <c r="C68" s="9" t="s">
        <v>137</v>
      </c>
      <c r="D68" s="59">
        <v>0</v>
      </c>
      <c r="E68" s="59">
        <v>3</v>
      </c>
      <c r="F68" s="59">
        <v>6</v>
      </c>
      <c r="G68" s="59">
        <v>12</v>
      </c>
      <c r="H68" s="59">
        <v>18</v>
      </c>
      <c r="I68" s="59">
        <v>24</v>
      </c>
      <c r="J68" s="59">
        <v>36</v>
      </c>
      <c r="K68" s="60">
        <v>17.5</v>
      </c>
      <c r="L68" s="60">
        <v>16.5</v>
      </c>
      <c r="M68" s="60">
        <v>15.6</v>
      </c>
      <c r="N68" s="60">
        <v>13.6</v>
      </c>
      <c r="O68" s="60">
        <v>11.6</v>
      </c>
      <c r="P68" s="60">
        <v>9</v>
      </c>
      <c r="Q68" s="60">
        <v>3.8</v>
      </c>
      <c r="R68" s="9" t="s">
        <v>235</v>
      </c>
      <c r="S68" s="61">
        <v>0.99970000000000003</v>
      </c>
      <c r="T68" s="70"/>
      <c r="U68" s="65">
        <f t="shared" ref="U68:U99" si="17">Q</f>
        <v>20</v>
      </c>
      <c r="V68" s="67">
        <f>-0.0026*Q^2-0.2859*Q+17.44</f>
        <v>10.682000000000002</v>
      </c>
      <c r="W68" s="67" t="str">
        <f t="shared" ref="W68:W99" si="18">IF(AND(V68&gt;H-1,V68&lt;H+1,V68&gt;Q68),"OK","")</f>
        <v/>
      </c>
      <c r="Y68" s="9">
        <v>42</v>
      </c>
      <c r="Z68" s="9" t="s">
        <v>321</v>
      </c>
      <c r="AA68" s="9">
        <v>50</v>
      </c>
      <c r="AB68" s="9" t="s">
        <v>319</v>
      </c>
      <c r="AC68" s="9">
        <v>1.8</v>
      </c>
      <c r="AD68" s="40">
        <v>2900</v>
      </c>
      <c r="AE68" s="40">
        <v>400</v>
      </c>
      <c r="AF68" s="37">
        <v>110</v>
      </c>
      <c r="AG68" s="49" t="s">
        <v>386</v>
      </c>
      <c r="AH68" s="157">
        <f>-0.073*Q^2+3.1002*Q+31.757</f>
        <v>64.561000000000007</v>
      </c>
      <c r="AI68" s="351">
        <f t="shared" si="14"/>
        <v>3800000</v>
      </c>
    </row>
    <row r="69" spans="1:35">
      <c r="A69" s="9" t="s">
        <v>127</v>
      </c>
      <c r="B69" s="9" t="s">
        <v>128</v>
      </c>
      <c r="C69" s="9" t="s">
        <v>138</v>
      </c>
      <c r="D69" s="59">
        <v>0</v>
      </c>
      <c r="E69" s="59">
        <v>3</v>
      </c>
      <c r="F69" s="59">
        <v>6</v>
      </c>
      <c r="G69" s="59">
        <v>12</v>
      </c>
      <c r="H69" s="59">
        <v>18</v>
      </c>
      <c r="I69" s="59">
        <v>24</v>
      </c>
      <c r="J69" s="59">
        <v>36</v>
      </c>
      <c r="K69" s="60">
        <v>21</v>
      </c>
      <c r="L69" s="60">
        <v>19.8</v>
      </c>
      <c r="M69" s="60">
        <v>18.5</v>
      </c>
      <c r="N69" s="60">
        <v>16</v>
      </c>
      <c r="O69" s="60">
        <v>13.8</v>
      </c>
      <c r="P69" s="60">
        <v>11</v>
      </c>
      <c r="Q69" s="60">
        <v>6</v>
      </c>
      <c r="R69" s="9" t="s">
        <v>236</v>
      </c>
      <c r="S69" s="61">
        <v>0.99970000000000003</v>
      </c>
      <c r="T69" s="70"/>
      <c r="U69" s="65">
        <f t="shared" si="17"/>
        <v>20</v>
      </c>
      <c r="V69" s="67">
        <f>-0.0004*Q^2-0.4029*Q+20.983</f>
        <v>12.765000000000001</v>
      </c>
      <c r="W69" s="67" t="str">
        <f t="shared" si="18"/>
        <v/>
      </c>
      <c r="Y69" s="9">
        <v>42</v>
      </c>
      <c r="Z69" s="9" t="s">
        <v>321</v>
      </c>
      <c r="AA69" s="9">
        <v>50</v>
      </c>
      <c r="AB69" s="9" t="s">
        <v>319</v>
      </c>
      <c r="AC69" s="9">
        <v>2.2000000000000002</v>
      </c>
      <c r="AD69" s="40">
        <v>2900</v>
      </c>
      <c r="AE69" s="40">
        <v>400</v>
      </c>
      <c r="AF69" s="37">
        <v>110</v>
      </c>
      <c r="AG69" s="49" t="s">
        <v>387</v>
      </c>
      <c r="AH69" s="157">
        <f>-0.073*Q^2+3.1002*Q+36.757</f>
        <v>69.561000000000007</v>
      </c>
      <c r="AI69" s="351">
        <f t="shared" si="14"/>
        <v>3900000</v>
      </c>
    </row>
    <row r="70" spans="1:35">
      <c r="A70" s="9" t="s">
        <v>127</v>
      </c>
      <c r="B70" s="9" t="s">
        <v>128</v>
      </c>
      <c r="C70" s="9" t="s">
        <v>139</v>
      </c>
      <c r="D70" s="59">
        <v>0</v>
      </c>
      <c r="E70" s="59">
        <v>3</v>
      </c>
      <c r="F70" s="59">
        <v>6</v>
      </c>
      <c r="G70" s="59">
        <v>12</v>
      </c>
      <c r="H70" s="59">
        <v>18</v>
      </c>
      <c r="I70" s="59">
        <v>24</v>
      </c>
      <c r="J70" s="59">
        <v>36</v>
      </c>
      <c r="K70" s="60">
        <v>5.4</v>
      </c>
      <c r="L70" s="60">
        <v>5.0999999999999996</v>
      </c>
      <c r="M70" s="60">
        <v>4.8</v>
      </c>
      <c r="N70" s="60">
        <v>4.0999999999999996</v>
      </c>
      <c r="O70" s="60">
        <v>3.4</v>
      </c>
      <c r="P70" s="60">
        <v>2.6</v>
      </c>
      <c r="Q70" s="60">
        <v>1</v>
      </c>
      <c r="R70" s="9" t="s">
        <v>237</v>
      </c>
      <c r="S70" s="61">
        <v>0.99990000000000001</v>
      </c>
      <c r="T70" s="70"/>
      <c r="U70" s="65">
        <f t="shared" si="17"/>
        <v>20</v>
      </c>
      <c r="V70" s="67">
        <f>-0.0006*Q^2-0.1026*Q+5.4139</f>
        <v>3.1219000000000001</v>
      </c>
      <c r="W70" s="67" t="str">
        <f t="shared" si="18"/>
        <v/>
      </c>
      <c r="Y70" s="9">
        <v>62</v>
      </c>
      <c r="Z70" s="9" t="s">
        <v>321</v>
      </c>
      <c r="AA70" s="9">
        <v>65</v>
      </c>
      <c r="AB70" s="9" t="s">
        <v>318</v>
      </c>
      <c r="AC70" s="9">
        <v>0.6</v>
      </c>
      <c r="AD70" s="40">
        <v>2900</v>
      </c>
      <c r="AE70" s="40">
        <v>400</v>
      </c>
      <c r="AF70" s="37">
        <v>110</v>
      </c>
      <c r="AG70" s="49" t="s">
        <v>384</v>
      </c>
      <c r="AH70" s="157">
        <f>-0.073*Q^2+3.1002*Q+41.757</f>
        <v>74.561000000000007</v>
      </c>
      <c r="AI70" s="351">
        <f t="shared" ref="AI70:AI113" si="19">AI69+100000</f>
        <v>4000000</v>
      </c>
    </row>
    <row r="71" spans="1:35">
      <c r="A71" s="9" t="s">
        <v>127</v>
      </c>
      <c r="B71" s="9" t="s">
        <v>128</v>
      </c>
      <c r="C71" s="9" t="s">
        <v>140</v>
      </c>
      <c r="D71" s="59">
        <v>0</v>
      </c>
      <c r="E71" s="59">
        <v>3</v>
      </c>
      <c r="F71" s="59">
        <v>6</v>
      </c>
      <c r="G71" s="59">
        <v>12</v>
      </c>
      <c r="H71" s="59">
        <v>18</v>
      </c>
      <c r="I71" s="59">
        <v>24</v>
      </c>
      <c r="J71" s="59">
        <v>36</v>
      </c>
      <c r="K71" s="60">
        <v>5.4</v>
      </c>
      <c r="L71" s="60">
        <v>5.0999999999999996</v>
      </c>
      <c r="M71" s="60">
        <v>4.8</v>
      </c>
      <c r="N71" s="60">
        <v>4.0999999999999996</v>
      </c>
      <c r="O71" s="60">
        <v>3.4</v>
      </c>
      <c r="P71" s="60">
        <v>2.6</v>
      </c>
      <c r="Q71" s="60">
        <v>1</v>
      </c>
      <c r="R71" s="9" t="s">
        <v>237</v>
      </c>
      <c r="S71" s="61">
        <v>0.99990000000000001</v>
      </c>
      <c r="T71" s="70"/>
      <c r="U71" s="65">
        <f t="shared" si="17"/>
        <v>20</v>
      </c>
      <c r="V71" s="67">
        <f>-0.0006*Q^2-0.1026*Q+5.4139</f>
        <v>3.1219000000000001</v>
      </c>
      <c r="W71" s="67" t="str">
        <f t="shared" si="18"/>
        <v/>
      </c>
      <c r="Y71" s="9">
        <v>62</v>
      </c>
      <c r="Z71" s="9" t="s">
        <v>321</v>
      </c>
      <c r="AA71" s="9">
        <v>65</v>
      </c>
      <c r="AB71" s="9" t="s">
        <v>319</v>
      </c>
      <c r="AC71" s="9">
        <v>0.6</v>
      </c>
      <c r="AD71" s="40">
        <v>2900</v>
      </c>
      <c r="AE71" s="40">
        <v>400</v>
      </c>
      <c r="AF71" s="37">
        <v>110</v>
      </c>
      <c r="AG71" s="49" t="s">
        <v>385</v>
      </c>
      <c r="AH71" s="157">
        <f>-0.073*Q^2+3.1002*Q+46.757</f>
        <v>79.561000000000007</v>
      </c>
      <c r="AI71" s="351">
        <f t="shared" si="19"/>
        <v>4100000</v>
      </c>
    </row>
    <row r="72" spans="1:35">
      <c r="A72" s="9" t="s">
        <v>127</v>
      </c>
      <c r="B72" s="9" t="s">
        <v>128</v>
      </c>
      <c r="C72" s="9" t="s">
        <v>141</v>
      </c>
      <c r="D72" s="59">
        <v>0</v>
      </c>
      <c r="E72" s="59">
        <v>3</v>
      </c>
      <c r="F72" s="59">
        <v>12</v>
      </c>
      <c r="G72" s="59">
        <v>18</v>
      </c>
      <c r="H72" s="59">
        <v>24</v>
      </c>
      <c r="I72" s="59">
        <v>36</v>
      </c>
      <c r="J72" s="59">
        <v>48</v>
      </c>
      <c r="K72" s="60">
        <v>6.2</v>
      </c>
      <c r="L72" s="60">
        <v>6.1</v>
      </c>
      <c r="M72" s="60">
        <v>5.5</v>
      </c>
      <c r="N72" s="60">
        <v>5</v>
      </c>
      <c r="O72" s="60">
        <v>4.5</v>
      </c>
      <c r="P72" s="60">
        <v>3.1</v>
      </c>
      <c r="Q72" s="60">
        <v>1.4</v>
      </c>
      <c r="R72" s="9" t="s">
        <v>238</v>
      </c>
      <c r="S72" s="61">
        <v>0.99980000000000002</v>
      </c>
      <c r="T72" s="70"/>
      <c r="U72" s="65">
        <f t="shared" si="17"/>
        <v>20</v>
      </c>
      <c r="V72" s="67">
        <f>-0.0011*Q^2-0.0452*Q+6.2163</f>
        <v>4.872300000000001</v>
      </c>
      <c r="W72" s="67" t="str">
        <f t="shared" si="18"/>
        <v/>
      </c>
      <c r="Y72" s="9">
        <v>62</v>
      </c>
      <c r="Z72" s="9" t="s">
        <v>321</v>
      </c>
      <c r="AA72" s="9">
        <v>65</v>
      </c>
      <c r="AB72" s="9" t="s">
        <v>319</v>
      </c>
      <c r="AC72" s="9">
        <v>1.1000000000000001</v>
      </c>
      <c r="AD72" s="40">
        <v>2900</v>
      </c>
      <c r="AE72" s="40">
        <v>400</v>
      </c>
      <c r="AF72" s="37">
        <v>110</v>
      </c>
      <c r="AG72" s="49" t="s">
        <v>388</v>
      </c>
      <c r="AH72" s="157">
        <f>-0.0391*Q^2+2.2581*Q+31.247</f>
        <v>60.769000000000005</v>
      </c>
      <c r="AI72" s="351">
        <f t="shared" si="19"/>
        <v>4200000</v>
      </c>
    </row>
    <row r="73" spans="1:35">
      <c r="A73" s="9" t="s">
        <v>127</v>
      </c>
      <c r="B73" s="9" t="s">
        <v>128</v>
      </c>
      <c r="C73" s="9" t="s">
        <v>142</v>
      </c>
      <c r="D73" s="59">
        <v>0</v>
      </c>
      <c r="E73" s="59">
        <v>3</v>
      </c>
      <c r="F73" s="59">
        <v>12</v>
      </c>
      <c r="G73" s="59">
        <v>18</v>
      </c>
      <c r="H73" s="59">
        <v>24</v>
      </c>
      <c r="I73" s="59">
        <v>36</v>
      </c>
      <c r="J73" s="59">
        <v>48</v>
      </c>
      <c r="K73" s="60">
        <v>8</v>
      </c>
      <c r="L73" s="60">
        <v>7.8</v>
      </c>
      <c r="M73" s="60">
        <v>7.2</v>
      </c>
      <c r="N73" s="60">
        <v>6.7</v>
      </c>
      <c r="O73" s="60">
        <v>6.3</v>
      </c>
      <c r="P73" s="60">
        <v>5.4</v>
      </c>
      <c r="Q73" s="60">
        <v>4.4000000000000004</v>
      </c>
      <c r="R73" s="9" t="s">
        <v>239</v>
      </c>
      <c r="S73" s="61">
        <v>0.99970000000000003</v>
      </c>
      <c r="T73" s="70"/>
      <c r="U73" s="65">
        <f t="shared" si="17"/>
        <v>20</v>
      </c>
      <c r="V73" s="67">
        <f>-0.0002*Q^2-0.0671*Q+8.0016</f>
        <v>6.5795999999999992</v>
      </c>
      <c r="W73" s="67" t="str">
        <f t="shared" si="18"/>
        <v>OK</v>
      </c>
      <c r="Y73" s="9">
        <v>62</v>
      </c>
      <c r="Z73" s="9" t="s">
        <v>321</v>
      </c>
      <c r="AA73" s="9">
        <v>65</v>
      </c>
      <c r="AB73" s="9" t="s">
        <v>319</v>
      </c>
      <c r="AC73" s="9">
        <v>1.4</v>
      </c>
      <c r="AD73" s="40">
        <v>2900</v>
      </c>
      <c r="AE73" s="40">
        <v>400</v>
      </c>
      <c r="AF73" s="37">
        <v>110</v>
      </c>
      <c r="AG73" s="49" t="s">
        <v>389</v>
      </c>
      <c r="AH73" s="157">
        <f>-0.0391*Q^2+2.2581*Q+36.247</f>
        <v>65.769000000000005</v>
      </c>
      <c r="AI73" s="351">
        <f t="shared" si="19"/>
        <v>4300000</v>
      </c>
    </row>
    <row r="74" spans="1:35">
      <c r="A74" s="9" t="s">
        <v>127</v>
      </c>
      <c r="B74" s="9" t="s">
        <v>128</v>
      </c>
      <c r="C74" s="9" t="s">
        <v>143</v>
      </c>
      <c r="D74" s="59">
        <v>0</v>
      </c>
      <c r="E74" s="59">
        <v>3</v>
      </c>
      <c r="F74" s="59">
        <v>6</v>
      </c>
      <c r="G74" s="59">
        <v>12</v>
      </c>
      <c r="H74" s="59">
        <v>18</v>
      </c>
      <c r="I74" s="59">
        <v>24</v>
      </c>
      <c r="J74" s="59">
        <v>36</v>
      </c>
      <c r="K74" s="60">
        <v>9.3000000000000007</v>
      </c>
      <c r="L74" s="60">
        <v>8.8000000000000007</v>
      </c>
      <c r="M74" s="60">
        <v>8.4</v>
      </c>
      <c r="N74" s="60">
        <v>7.6</v>
      </c>
      <c r="O74" s="60">
        <v>6.5</v>
      </c>
      <c r="P74" s="60">
        <v>5.3</v>
      </c>
      <c r="Q74" s="60">
        <v>3</v>
      </c>
      <c r="R74" s="9" t="s">
        <v>240</v>
      </c>
      <c r="S74" s="61">
        <v>0.99909999999999999</v>
      </c>
      <c r="T74" s="70"/>
      <c r="U74" s="65">
        <f t="shared" si="17"/>
        <v>20</v>
      </c>
      <c r="V74" s="67">
        <f>-0.0011*Q^2-0.1353*Q+9.2755</f>
        <v>6.1294999999999993</v>
      </c>
      <c r="W74" s="67" t="str">
        <f t="shared" si="18"/>
        <v/>
      </c>
      <c r="Y74" s="9">
        <v>62</v>
      </c>
      <c r="Z74" s="9" t="s">
        <v>321</v>
      </c>
      <c r="AA74" s="9">
        <v>65</v>
      </c>
      <c r="AB74" s="9" t="s">
        <v>319</v>
      </c>
      <c r="AC74" s="9">
        <v>1.1000000000000001</v>
      </c>
      <c r="AD74" s="40">
        <v>2900</v>
      </c>
      <c r="AE74" s="40">
        <v>400</v>
      </c>
      <c r="AF74" s="37">
        <v>110</v>
      </c>
      <c r="AG74" s="49" t="s">
        <v>384</v>
      </c>
      <c r="AH74" s="157">
        <f>-0.073*Q^2+3.1002*Q+41.757</f>
        <v>74.561000000000007</v>
      </c>
      <c r="AI74" s="351">
        <f t="shared" si="19"/>
        <v>4400000</v>
      </c>
    </row>
    <row r="75" spans="1:35">
      <c r="A75" s="9" t="s">
        <v>127</v>
      </c>
      <c r="B75" s="9" t="s">
        <v>128</v>
      </c>
      <c r="C75" s="9" t="s">
        <v>144</v>
      </c>
      <c r="D75" s="59">
        <v>0</v>
      </c>
      <c r="E75" s="59">
        <v>3</v>
      </c>
      <c r="F75" s="59">
        <v>12</v>
      </c>
      <c r="G75" s="59">
        <v>18</v>
      </c>
      <c r="H75" s="59">
        <v>24</v>
      </c>
      <c r="I75" s="59">
        <v>36</v>
      </c>
      <c r="J75" s="59">
        <v>48</v>
      </c>
      <c r="K75" s="60">
        <v>14</v>
      </c>
      <c r="L75" s="60">
        <v>13.5</v>
      </c>
      <c r="M75" s="60">
        <v>12</v>
      </c>
      <c r="N75" s="60">
        <v>11</v>
      </c>
      <c r="O75" s="60">
        <v>10</v>
      </c>
      <c r="P75" s="60">
        <v>7.5</v>
      </c>
      <c r="Q75" s="60">
        <v>4</v>
      </c>
      <c r="R75" s="9" t="s">
        <v>241</v>
      </c>
      <c r="S75" s="61">
        <v>0.99839999999999995</v>
      </c>
      <c r="T75" s="70"/>
      <c r="U75" s="65">
        <f t="shared" si="17"/>
        <v>20</v>
      </c>
      <c r="V75" s="67">
        <f>-0.0016*Q^2-0.1249*Q+13.892</f>
        <v>10.754</v>
      </c>
      <c r="W75" s="67" t="str">
        <f t="shared" si="18"/>
        <v/>
      </c>
      <c r="Y75" s="9">
        <v>62</v>
      </c>
      <c r="Z75" s="9" t="s">
        <v>321</v>
      </c>
      <c r="AA75" s="9">
        <v>65</v>
      </c>
      <c r="AB75" s="9" t="s">
        <v>319</v>
      </c>
      <c r="AC75" s="9">
        <v>1.8</v>
      </c>
      <c r="AD75" s="40">
        <v>2900</v>
      </c>
      <c r="AE75" s="40">
        <v>400</v>
      </c>
      <c r="AF75" s="37">
        <v>110</v>
      </c>
      <c r="AG75" s="49" t="s">
        <v>390</v>
      </c>
      <c r="AH75" s="157">
        <f>-0.0391*Q^2+2.2581*Q+46.247</f>
        <v>75.769000000000005</v>
      </c>
      <c r="AI75" s="351">
        <f t="shared" si="19"/>
        <v>4500000</v>
      </c>
    </row>
    <row r="76" spans="1:35">
      <c r="A76" s="9" t="s">
        <v>127</v>
      </c>
      <c r="B76" s="9" t="s">
        <v>128</v>
      </c>
      <c r="C76" s="9" t="s">
        <v>145</v>
      </c>
      <c r="D76" s="59">
        <v>0</v>
      </c>
      <c r="E76" s="59">
        <v>3</v>
      </c>
      <c r="F76" s="59">
        <v>12</v>
      </c>
      <c r="G76" s="59">
        <v>18</v>
      </c>
      <c r="H76" s="59">
        <v>24</v>
      </c>
      <c r="I76" s="59">
        <v>36</v>
      </c>
      <c r="J76" s="59">
        <v>48</v>
      </c>
      <c r="K76" s="60">
        <v>16.5</v>
      </c>
      <c r="L76" s="60">
        <v>15.5</v>
      </c>
      <c r="M76" s="60">
        <v>13.6</v>
      </c>
      <c r="N76" s="60">
        <v>12.5</v>
      </c>
      <c r="O76" s="60">
        <v>11.4</v>
      </c>
      <c r="P76" s="60">
        <v>9</v>
      </c>
      <c r="Q76" s="60">
        <v>5.5</v>
      </c>
      <c r="R76" s="9" t="s">
        <v>242</v>
      </c>
      <c r="S76" s="61">
        <v>0.99560000000000004</v>
      </c>
      <c r="T76" s="70"/>
      <c r="U76" s="65">
        <f t="shared" si="17"/>
        <v>20</v>
      </c>
      <c r="V76" s="67">
        <f>-0.0007*Q^2-0.1873*Q+16.212</f>
        <v>12.186</v>
      </c>
      <c r="W76" s="67" t="str">
        <f t="shared" si="18"/>
        <v/>
      </c>
      <c r="Y76" s="9">
        <v>62</v>
      </c>
      <c r="Z76" s="9" t="s">
        <v>321</v>
      </c>
      <c r="AA76" s="9">
        <v>65</v>
      </c>
      <c r="AB76" s="9" t="s">
        <v>319</v>
      </c>
      <c r="AC76" s="9">
        <v>2.1800000000000002</v>
      </c>
      <c r="AD76" s="40">
        <v>2900</v>
      </c>
      <c r="AE76" s="40">
        <v>400</v>
      </c>
      <c r="AF76" s="37">
        <v>110</v>
      </c>
      <c r="AG76" s="49" t="s">
        <v>388</v>
      </c>
      <c r="AH76" s="157">
        <f>-0.0391*Q^2+2.2581*Q+31.247</f>
        <v>60.769000000000005</v>
      </c>
      <c r="AI76" s="351">
        <f t="shared" si="19"/>
        <v>4600000</v>
      </c>
    </row>
    <row r="77" spans="1:35">
      <c r="A77" s="9" t="s">
        <v>127</v>
      </c>
      <c r="B77" s="9" t="s">
        <v>128</v>
      </c>
      <c r="C77" s="9" t="s">
        <v>146</v>
      </c>
      <c r="D77" s="59">
        <v>0</v>
      </c>
      <c r="E77" s="59">
        <v>12</v>
      </c>
      <c r="F77" s="59">
        <v>24</v>
      </c>
      <c r="G77" s="59">
        <v>36</v>
      </c>
      <c r="H77" s="59">
        <v>48</v>
      </c>
      <c r="I77" s="59">
        <v>60</v>
      </c>
      <c r="J77" s="59">
        <v>72</v>
      </c>
      <c r="K77" s="60">
        <v>6</v>
      </c>
      <c r="L77" s="60">
        <v>5.6</v>
      </c>
      <c r="M77" s="60">
        <v>5.0999999999999996</v>
      </c>
      <c r="N77" s="60">
        <v>4.4000000000000004</v>
      </c>
      <c r="O77" s="60">
        <v>3.8</v>
      </c>
      <c r="P77" s="60">
        <v>3.1</v>
      </c>
      <c r="Q77" s="60">
        <v>2.4</v>
      </c>
      <c r="R77" s="9" t="s">
        <v>243</v>
      </c>
      <c r="S77" s="61">
        <v>0.999</v>
      </c>
      <c r="T77" s="70"/>
      <c r="U77" s="65">
        <f t="shared" si="17"/>
        <v>20</v>
      </c>
      <c r="V77" s="67">
        <f>-0.0002*Q^2-0.0372*Q+6.0381</f>
        <v>5.2141000000000002</v>
      </c>
      <c r="W77" s="67" t="str">
        <f t="shared" si="18"/>
        <v/>
      </c>
      <c r="Y77" s="9">
        <v>80</v>
      </c>
      <c r="Z77" s="9" t="s">
        <v>321</v>
      </c>
      <c r="AA77" s="9">
        <v>80</v>
      </c>
      <c r="AB77" s="9" t="s">
        <v>319</v>
      </c>
      <c r="AC77" s="9">
        <v>1.8</v>
      </c>
      <c r="AD77" s="40">
        <v>2900</v>
      </c>
      <c r="AE77" s="40">
        <v>400</v>
      </c>
      <c r="AF77" s="37">
        <v>110</v>
      </c>
      <c r="AG77" s="49" t="s">
        <v>391</v>
      </c>
      <c r="AH77" s="157">
        <f>-0.0153*Q^2+1.4435*Q+32.381</f>
        <v>55.131</v>
      </c>
      <c r="AI77" s="351">
        <f t="shared" si="19"/>
        <v>4700000</v>
      </c>
    </row>
    <row r="78" spans="1:35">
      <c r="A78" s="9" t="s">
        <v>127</v>
      </c>
      <c r="B78" s="9" t="s">
        <v>128</v>
      </c>
      <c r="C78" s="9" t="s">
        <v>147</v>
      </c>
      <c r="D78" s="59">
        <v>0</v>
      </c>
      <c r="E78" s="59">
        <v>12</v>
      </c>
      <c r="F78" s="59">
        <v>18</v>
      </c>
      <c r="G78" s="59">
        <v>24</v>
      </c>
      <c r="H78" s="59">
        <v>36</v>
      </c>
      <c r="I78" s="59">
        <v>48</v>
      </c>
      <c r="J78" s="59">
        <v>60</v>
      </c>
      <c r="K78" s="60">
        <v>12</v>
      </c>
      <c r="L78" s="60">
        <v>9.5</v>
      </c>
      <c r="M78" s="60">
        <v>8.3000000000000007</v>
      </c>
      <c r="N78" s="60">
        <v>7</v>
      </c>
      <c r="O78" s="60">
        <v>5</v>
      </c>
      <c r="P78" s="60">
        <v>3.2</v>
      </c>
      <c r="Q78" s="60">
        <v>1.8</v>
      </c>
      <c r="R78" s="9" t="s">
        <v>244</v>
      </c>
      <c r="S78" s="61">
        <v>0.99970000000000003</v>
      </c>
      <c r="T78" s="70"/>
      <c r="U78" s="65">
        <f t="shared" si="17"/>
        <v>20</v>
      </c>
      <c r="V78" s="67">
        <f>0.001*Q^2-0.2315*Q+12.058</f>
        <v>7.8280000000000003</v>
      </c>
      <c r="W78" s="67" t="str">
        <f t="shared" si="18"/>
        <v>OK</v>
      </c>
      <c r="Y78" s="9">
        <v>67</v>
      </c>
      <c r="Z78" s="9" t="s">
        <v>321</v>
      </c>
      <c r="AA78" s="9">
        <v>80</v>
      </c>
      <c r="AB78" s="9" t="s">
        <v>319</v>
      </c>
      <c r="AC78" s="9">
        <v>2.2999999999999998</v>
      </c>
      <c r="AD78" s="40">
        <v>2900</v>
      </c>
      <c r="AE78" s="40">
        <v>400</v>
      </c>
      <c r="AF78" s="37">
        <v>110</v>
      </c>
      <c r="AG78" s="49" t="s">
        <v>392</v>
      </c>
      <c r="AH78" s="157">
        <f>-0.024*Q^2+1.8437*Q+36.833</f>
        <v>64.106999999999999</v>
      </c>
      <c r="AI78" s="351">
        <f t="shared" si="19"/>
        <v>4800000</v>
      </c>
    </row>
    <row r="79" spans="1:35">
      <c r="A79" s="9" t="s">
        <v>127</v>
      </c>
      <c r="B79" s="9" t="s">
        <v>128</v>
      </c>
      <c r="C79" s="9" t="s">
        <v>148</v>
      </c>
      <c r="D79" s="59">
        <v>0</v>
      </c>
      <c r="E79" s="59">
        <v>12</v>
      </c>
      <c r="F79" s="59">
        <v>18</v>
      </c>
      <c r="G79" s="59">
        <v>24</v>
      </c>
      <c r="H79" s="59">
        <v>36</v>
      </c>
      <c r="I79" s="59">
        <v>48</v>
      </c>
      <c r="J79" s="59">
        <v>60</v>
      </c>
      <c r="K79" s="60">
        <v>15.4</v>
      </c>
      <c r="L79" s="60">
        <v>13.2</v>
      </c>
      <c r="M79" s="60">
        <v>12</v>
      </c>
      <c r="N79" s="60">
        <v>10.8</v>
      </c>
      <c r="O79" s="60">
        <v>8</v>
      </c>
      <c r="P79" s="60">
        <v>5.4</v>
      </c>
      <c r="Q79" s="60">
        <v>3</v>
      </c>
      <c r="R79" s="9" t="s">
        <v>245</v>
      </c>
      <c r="S79" s="61">
        <v>0.99909999999999999</v>
      </c>
      <c r="T79" s="70"/>
      <c r="U79" s="65">
        <f t="shared" si="17"/>
        <v>20</v>
      </c>
      <c r="V79" s="67">
        <f>-0.0003*Q^2-0.1951*Q+15.505</f>
        <v>11.483000000000001</v>
      </c>
      <c r="W79" s="67" t="str">
        <f t="shared" si="18"/>
        <v/>
      </c>
      <c r="Y79" s="9">
        <v>67</v>
      </c>
      <c r="Z79" s="9" t="s">
        <v>321</v>
      </c>
      <c r="AA79" s="9">
        <v>80</v>
      </c>
      <c r="AB79" s="9" t="s">
        <v>319</v>
      </c>
      <c r="AC79" s="9">
        <v>2.9</v>
      </c>
      <c r="AD79" s="40">
        <v>2900</v>
      </c>
      <c r="AE79" s="40">
        <v>400</v>
      </c>
      <c r="AF79" s="37">
        <v>110</v>
      </c>
      <c r="AG79" s="49" t="s">
        <v>393</v>
      </c>
      <c r="AH79" s="157">
        <f>-0.024*Q^2+1.8437*Q+41.833</f>
        <v>69.106999999999999</v>
      </c>
      <c r="AI79" s="351">
        <f t="shared" si="19"/>
        <v>4900000</v>
      </c>
    </row>
    <row r="80" spans="1:35">
      <c r="A80" s="9" t="s">
        <v>127</v>
      </c>
      <c r="B80" s="9" t="s">
        <v>128</v>
      </c>
      <c r="C80" s="9" t="s">
        <v>149</v>
      </c>
      <c r="D80" s="59">
        <v>0</v>
      </c>
      <c r="E80" s="59">
        <v>12</v>
      </c>
      <c r="F80" s="59">
        <v>24</v>
      </c>
      <c r="G80" s="59">
        <v>36</v>
      </c>
      <c r="H80" s="59">
        <v>48</v>
      </c>
      <c r="I80" s="59">
        <v>60</v>
      </c>
      <c r="J80" s="59">
        <v>72</v>
      </c>
      <c r="K80" s="60">
        <v>18.7</v>
      </c>
      <c r="L80" s="60">
        <v>17.5</v>
      </c>
      <c r="M80" s="60">
        <v>15.3</v>
      </c>
      <c r="N80" s="60">
        <v>12.6</v>
      </c>
      <c r="O80" s="60">
        <v>9.4</v>
      </c>
      <c r="P80" s="60">
        <v>6.2</v>
      </c>
      <c r="Q80" s="60">
        <v>4</v>
      </c>
      <c r="R80" s="9" t="s">
        <v>246</v>
      </c>
      <c r="S80" s="61">
        <v>0.99429999999999996</v>
      </c>
      <c r="T80" s="70"/>
      <c r="U80" s="65">
        <f t="shared" si="17"/>
        <v>20</v>
      </c>
      <c r="V80" s="67">
        <f>-0.0009*Q^2-0.1506*Q+19.081</f>
        <v>15.709</v>
      </c>
      <c r="W80" s="67" t="str">
        <f t="shared" si="18"/>
        <v/>
      </c>
      <c r="Y80" s="9">
        <v>67</v>
      </c>
      <c r="Z80" s="9" t="s">
        <v>321</v>
      </c>
      <c r="AA80" s="9">
        <v>80</v>
      </c>
      <c r="AB80" s="9" t="s">
        <v>319</v>
      </c>
      <c r="AC80" s="9">
        <v>3.6</v>
      </c>
      <c r="AD80" s="40">
        <v>2900</v>
      </c>
      <c r="AE80" s="40">
        <v>400</v>
      </c>
      <c r="AF80" s="37">
        <v>110</v>
      </c>
      <c r="AG80" s="49" t="s">
        <v>394</v>
      </c>
      <c r="AH80" s="157">
        <f>-0.0153*Q^2+1.4435*Q+27.381</f>
        <v>50.131</v>
      </c>
      <c r="AI80" s="351">
        <f t="shared" si="19"/>
        <v>5000000</v>
      </c>
    </row>
    <row r="81" spans="1:35">
      <c r="A81" s="9" t="s">
        <v>127</v>
      </c>
      <c r="B81" s="9" t="s">
        <v>128</v>
      </c>
      <c r="C81" s="9" t="s">
        <v>150</v>
      </c>
      <c r="D81" s="59">
        <v>0</v>
      </c>
      <c r="E81" s="59">
        <v>12</v>
      </c>
      <c r="F81" s="59">
        <v>18</v>
      </c>
      <c r="G81" s="59">
        <v>24</v>
      </c>
      <c r="H81" s="59">
        <v>36</v>
      </c>
      <c r="I81" s="59">
        <v>48</v>
      </c>
      <c r="J81" s="59">
        <v>60</v>
      </c>
      <c r="K81" s="60">
        <v>28</v>
      </c>
      <c r="L81" s="60">
        <v>25.5</v>
      </c>
      <c r="M81" s="60">
        <v>24.3</v>
      </c>
      <c r="N81" s="60">
        <v>23</v>
      </c>
      <c r="O81" s="60">
        <v>20.6</v>
      </c>
      <c r="P81" s="60">
        <v>18</v>
      </c>
      <c r="Q81" s="60">
        <v>15.6</v>
      </c>
      <c r="R81" s="9" t="s">
        <v>247</v>
      </c>
      <c r="S81" s="61">
        <v>0.99990000000000001</v>
      </c>
      <c r="T81" s="70"/>
      <c r="U81" s="65">
        <f t="shared" si="17"/>
        <v>20</v>
      </c>
      <c r="V81" s="67">
        <f>0.000002*Q^2-0.2072*Q+28</f>
        <v>23.8568</v>
      </c>
      <c r="W81" s="67" t="str">
        <f t="shared" si="18"/>
        <v/>
      </c>
      <c r="Y81" s="9">
        <v>50</v>
      </c>
      <c r="Z81" s="9" t="s">
        <v>321</v>
      </c>
      <c r="AA81" s="9">
        <v>80</v>
      </c>
      <c r="AB81" s="9" t="s">
        <v>319</v>
      </c>
      <c r="AC81" s="9">
        <v>4.5</v>
      </c>
      <c r="AD81" s="40">
        <v>2900</v>
      </c>
      <c r="AE81" s="40">
        <v>400</v>
      </c>
      <c r="AF81" s="37">
        <v>110</v>
      </c>
      <c r="AG81" s="49" t="s">
        <v>395</v>
      </c>
      <c r="AH81" s="157">
        <f>-0.024*Q^2+1.8437*Q+31.833</f>
        <v>59.106999999999992</v>
      </c>
      <c r="AI81" s="351">
        <f t="shared" si="19"/>
        <v>5100000</v>
      </c>
    </row>
    <row r="82" spans="1:35">
      <c r="A82" s="9" t="s">
        <v>127</v>
      </c>
      <c r="B82" s="9" t="s">
        <v>128</v>
      </c>
      <c r="C82" s="9" t="s">
        <v>151</v>
      </c>
      <c r="D82" s="59">
        <v>0</v>
      </c>
      <c r="E82" s="59">
        <v>12</v>
      </c>
      <c r="F82" s="59">
        <v>24</v>
      </c>
      <c r="G82" s="59">
        <v>36</v>
      </c>
      <c r="H82" s="59">
        <v>48</v>
      </c>
      <c r="I82" s="59">
        <v>60</v>
      </c>
      <c r="J82" s="59">
        <v>72</v>
      </c>
      <c r="K82" s="60">
        <v>32.9</v>
      </c>
      <c r="L82" s="60">
        <v>29.4</v>
      </c>
      <c r="M82" s="60">
        <v>26.8</v>
      </c>
      <c r="N82" s="60">
        <v>24.8</v>
      </c>
      <c r="O82" s="60">
        <v>22.8</v>
      </c>
      <c r="P82" s="60">
        <v>20.100000000000001</v>
      </c>
      <c r="Q82" s="60">
        <v>16</v>
      </c>
      <c r="R82" s="9" t="s">
        <v>248</v>
      </c>
      <c r="S82" s="61">
        <v>0.98880000000000001</v>
      </c>
      <c r="T82" s="70"/>
      <c r="U82" s="65">
        <f t="shared" si="17"/>
        <v>20</v>
      </c>
      <c r="V82" s="67">
        <f>-0.0003*Q^2-0.1973*Q+32.331</f>
        <v>28.265000000000004</v>
      </c>
      <c r="W82" s="67" t="str">
        <f t="shared" si="18"/>
        <v/>
      </c>
      <c r="Y82" s="9">
        <v>50</v>
      </c>
      <c r="Z82" s="9" t="s">
        <v>321</v>
      </c>
      <c r="AA82" s="9">
        <v>80</v>
      </c>
      <c r="AB82" s="9" t="s">
        <v>319</v>
      </c>
      <c r="AC82" s="9">
        <v>5.4</v>
      </c>
      <c r="AD82" s="40">
        <v>2900</v>
      </c>
      <c r="AE82" s="40">
        <v>400</v>
      </c>
      <c r="AF82" s="37">
        <v>110</v>
      </c>
      <c r="AG82" s="49" t="s">
        <v>396</v>
      </c>
      <c r="AH82" s="157">
        <f>-0.0153*Q^2+1.4435*Q+37.381</f>
        <v>60.131</v>
      </c>
      <c r="AI82" s="351">
        <f t="shared" si="19"/>
        <v>5200000</v>
      </c>
    </row>
    <row r="83" spans="1:35">
      <c r="A83" s="51" t="s">
        <v>152</v>
      </c>
      <c r="B83" s="51" t="s">
        <v>153</v>
      </c>
      <c r="C83" s="51" t="s">
        <v>154</v>
      </c>
      <c r="D83" s="55">
        <v>2.4</v>
      </c>
      <c r="E83" s="55">
        <v>3.6</v>
      </c>
      <c r="F83" s="55">
        <v>4.8</v>
      </c>
      <c r="G83" s="55">
        <v>6</v>
      </c>
      <c r="H83" s="55">
        <v>9</v>
      </c>
      <c r="I83" s="55">
        <v>12</v>
      </c>
      <c r="J83" s="55"/>
      <c r="K83" s="56">
        <v>7</v>
      </c>
      <c r="L83" s="56">
        <v>6.5</v>
      </c>
      <c r="M83" s="56">
        <v>6.1</v>
      </c>
      <c r="N83" s="56">
        <v>5.6</v>
      </c>
      <c r="O83" s="56">
        <v>4.2</v>
      </c>
      <c r="P83" s="56">
        <v>2.6</v>
      </c>
      <c r="Q83" s="56"/>
      <c r="R83" s="57" t="s">
        <v>249</v>
      </c>
      <c r="S83" s="58">
        <v>0.99980000000000002</v>
      </c>
      <c r="T83" s="72"/>
      <c r="U83" s="65">
        <f t="shared" si="17"/>
        <v>20</v>
      </c>
      <c r="V83" s="68">
        <f>-0.0117*Q^2-0.2868*Q+7.732</f>
        <v>-2.6840000000000002</v>
      </c>
      <c r="W83" s="67" t="str">
        <f t="shared" si="18"/>
        <v/>
      </c>
      <c r="Y83" s="51">
        <v>30</v>
      </c>
      <c r="Z83" s="51" t="s">
        <v>317</v>
      </c>
      <c r="AA83" s="51">
        <v>32</v>
      </c>
      <c r="AB83" s="51" t="s">
        <v>318</v>
      </c>
      <c r="AC83" s="42">
        <v>0.5</v>
      </c>
      <c r="AD83" s="40">
        <v>2900</v>
      </c>
      <c r="AE83" s="51">
        <v>203</v>
      </c>
      <c r="AF83" s="37">
        <v>110</v>
      </c>
      <c r="AG83" s="49" t="s">
        <v>397</v>
      </c>
      <c r="AH83" s="157">
        <f>-0.8304*Q^2+14.804*Q+11.972</f>
        <v>-24.10800000000004</v>
      </c>
      <c r="AI83" s="351">
        <v>3000000</v>
      </c>
    </row>
    <row r="84" spans="1:35">
      <c r="A84" s="51" t="s">
        <v>152</v>
      </c>
      <c r="B84" s="51" t="s">
        <v>153</v>
      </c>
      <c r="C84" s="52" t="s">
        <v>155</v>
      </c>
      <c r="D84" s="55">
        <v>2.4</v>
      </c>
      <c r="E84" s="55">
        <v>3.6</v>
      </c>
      <c r="F84" s="55">
        <v>4.8</v>
      </c>
      <c r="G84" s="55">
        <v>6</v>
      </c>
      <c r="H84" s="55">
        <v>9</v>
      </c>
      <c r="I84" s="55">
        <v>12</v>
      </c>
      <c r="J84" s="55"/>
      <c r="K84" s="56">
        <v>6.8</v>
      </c>
      <c r="L84" s="56">
        <v>5.9</v>
      </c>
      <c r="M84" s="56">
        <v>5.4</v>
      </c>
      <c r="N84" s="56">
        <v>4.8</v>
      </c>
      <c r="O84" s="56">
        <v>3.2</v>
      </c>
      <c r="P84" s="56">
        <v>1.6</v>
      </c>
      <c r="Q84" s="56"/>
      <c r="R84" s="57" t="s">
        <v>250</v>
      </c>
      <c r="S84" s="58">
        <v>0.99809999999999999</v>
      </c>
      <c r="T84" s="72"/>
      <c r="U84" s="65">
        <f t="shared" si="17"/>
        <v>20</v>
      </c>
      <c r="V84" s="68">
        <f>0.0019*Q^2-0.5568*Q+8.0302</f>
        <v>-2.3457999999999988</v>
      </c>
      <c r="W84" s="67" t="str">
        <f t="shared" si="18"/>
        <v/>
      </c>
      <c r="Y84" s="51">
        <v>30</v>
      </c>
      <c r="Z84" s="51" t="s">
        <v>317</v>
      </c>
      <c r="AA84" s="51">
        <v>32</v>
      </c>
      <c r="AB84" s="51" t="s">
        <v>319</v>
      </c>
      <c r="AC84" s="42">
        <v>0.5</v>
      </c>
      <c r="AD84" s="40">
        <v>2900</v>
      </c>
      <c r="AE84" s="51">
        <v>203</v>
      </c>
      <c r="AF84" s="37">
        <v>110</v>
      </c>
      <c r="AG84" s="49" t="s">
        <v>398</v>
      </c>
      <c r="AH84" s="157">
        <f>-0.9034*Q^2+15.575*Q+8.1338</f>
        <v>-41.726200000000013</v>
      </c>
      <c r="AI84" s="351">
        <f t="shared" si="19"/>
        <v>3100000</v>
      </c>
    </row>
    <row r="85" spans="1:35">
      <c r="A85" s="51" t="s">
        <v>152</v>
      </c>
      <c r="B85" s="51" t="s">
        <v>153</v>
      </c>
      <c r="C85" s="52" t="s">
        <v>156</v>
      </c>
      <c r="D85" s="55">
        <v>2.4</v>
      </c>
      <c r="E85" s="55">
        <v>3.6</v>
      </c>
      <c r="F85" s="55">
        <v>6</v>
      </c>
      <c r="G85" s="55">
        <v>9</v>
      </c>
      <c r="H85" s="55">
        <v>12</v>
      </c>
      <c r="I85" s="55">
        <v>18</v>
      </c>
      <c r="J85" s="55">
        <v>24</v>
      </c>
      <c r="K85" s="56">
        <v>8.5</v>
      </c>
      <c r="L85" s="56">
        <v>8.1</v>
      </c>
      <c r="M85" s="56">
        <v>7.3</v>
      </c>
      <c r="N85" s="56">
        <v>6.3</v>
      </c>
      <c r="O85" s="56">
        <v>5.3</v>
      </c>
      <c r="P85" s="56">
        <v>3.4</v>
      </c>
      <c r="Q85" s="56">
        <v>1.6</v>
      </c>
      <c r="R85" s="57" t="s">
        <v>251</v>
      </c>
      <c r="S85" s="58">
        <v>1</v>
      </c>
      <c r="T85" s="72"/>
      <c r="U85" s="65">
        <f t="shared" si="17"/>
        <v>20</v>
      </c>
      <c r="V85" s="68">
        <f>0.0011*Q^2-0.3496*Q+9.3443</f>
        <v>2.7923</v>
      </c>
      <c r="W85" s="67" t="str">
        <f t="shared" si="18"/>
        <v/>
      </c>
      <c r="Y85" s="51">
        <v>48</v>
      </c>
      <c r="Z85" s="51" t="s">
        <v>321</v>
      </c>
      <c r="AA85" s="51">
        <v>50</v>
      </c>
      <c r="AB85" s="51" t="s">
        <v>318</v>
      </c>
      <c r="AC85" s="42">
        <v>1.1000000000000001</v>
      </c>
      <c r="AD85" s="40">
        <v>2900</v>
      </c>
      <c r="AE85" s="51">
        <v>358</v>
      </c>
      <c r="AF85" s="37">
        <v>110</v>
      </c>
      <c r="AG85" s="57" t="s">
        <v>399</v>
      </c>
      <c r="AH85" s="158">
        <f>-0.1646*Q^2+5.0489*Q+36.499</f>
        <v>71.637</v>
      </c>
      <c r="AI85" s="351">
        <f t="shared" si="19"/>
        <v>3200000</v>
      </c>
    </row>
    <row r="86" spans="1:35">
      <c r="A86" s="51" t="s">
        <v>152</v>
      </c>
      <c r="B86" s="51" t="s">
        <v>153</v>
      </c>
      <c r="C86" s="52" t="s">
        <v>157</v>
      </c>
      <c r="D86" s="55">
        <v>2.4</v>
      </c>
      <c r="E86" s="55">
        <v>3.6</v>
      </c>
      <c r="F86" s="55">
        <v>6</v>
      </c>
      <c r="G86" s="55">
        <v>9</v>
      </c>
      <c r="H86" s="55">
        <v>12</v>
      </c>
      <c r="I86" s="55">
        <v>18</v>
      </c>
      <c r="J86" s="55">
        <v>24</v>
      </c>
      <c r="K86" s="56">
        <v>9.3000000000000007</v>
      </c>
      <c r="L86" s="56">
        <v>8.9</v>
      </c>
      <c r="M86" s="56">
        <v>8.1999999999999993</v>
      </c>
      <c r="N86" s="56">
        <v>7.2</v>
      </c>
      <c r="O86" s="56">
        <v>6.3</v>
      </c>
      <c r="P86" s="56">
        <v>4.4000000000000004</v>
      </c>
      <c r="Q86" s="56">
        <v>2.5</v>
      </c>
      <c r="R86" s="57" t="s">
        <v>252</v>
      </c>
      <c r="S86" s="58">
        <v>0.99990000000000001</v>
      </c>
      <c r="T86" s="72"/>
      <c r="U86" s="65">
        <f t="shared" si="17"/>
        <v>20</v>
      </c>
      <c r="V86" s="68">
        <f>-0.0001*Q^2-0.3113*Q+10.041</f>
        <v>3.7749999999999995</v>
      </c>
      <c r="W86" s="67" t="str">
        <f t="shared" si="18"/>
        <v/>
      </c>
      <c r="Y86" s="51">
        <v>48</v>
      </c>
      <c r="Z86" s="51" t="s">
        <v>321</v>
      </c>
      <c r="AA86" s="51">
        <v>50</v>
      </c>
      <c r="AB86" s="51" t="s">
        <v>319</v>
      </c>
      <c r="AC86" s="42">
        <v>1.4</v>
      </c>
      <c r="AD86" s="40">
        <v>2900</v>
      </c>
      <c r="AE86" s="51">
        <v>358</v>
      </c>
      <c r="AF86" s="37">
        <v>110</v>
      </c>
      <c r="AG86" s="57" t="s">
        <v>399</v>
      </c>
      <c r="AH86" s="158">
        <f>-0.1646*Q^2+5.0489*Q+36.499</f>
        <v>71.637</v>
      </c>
      <c r="AI86" s="351">
        <f t="shared" si="19"/>
        <v>3300000</v>
      </c>
    </row>
    <row r="87" spans="1:35">
      <c r="A87" s="51" t="s">
        <v>152</v>
      </c>
      <c r="B87" s="51" t="s">
        <v>153</v>
      </c>
      <c r="C87" s="52" t="s">
        <v>158</v>
      </c>
      <c r="D87" s="55">
        <v>2.4</v>
      </c>
      <c r="E87" s="55">
        <v>6</v>
      </c>
      <c r="F87" s="55">
        <v>9</v>
      </c>
      <c r="G87" s="55">
        <v>12</v>
      </c>
      <c r="H87" s="55">
        <v>18</v>
      </c>
      <c r="I87" s="55">
        <v>24</v>
      </c>
      <c r="J87" s="55">
        <v>33</v>
      </c>
      <c r="K87" s="56">
        <v>11.5</v>
      </c>
      <c r="L87" s="56">
        <v>10.3</v>
      </c>
      <c r="M87" s="56">
        <v>9.4</v>
      </c>
      <c r="N87" s="56">
        <v>8.4</v>
      </c>
      <c r="O87" s="56">
        <v>6.4</v>
      </c>
      <c r="P87" s="56">
        <v>4.5</v>
      </c>
      <c r="Q87" s="56">
        <v>1.4</v>
      </c>
      <c r="R87" s="57" t="s">
        <v>253</v>
      </c>
      <c r="S87" s="57">
        <v>0.99990000000000001</v>
      </c>
      <c r="T87" s="73"/>
      <c r="U87" s="65">
        <f t="shared" si="17"/>
        <v>20</v>
      </c>
      <c r="V87" s="68">
        <f>-0.0004*Q^2-0.3151*Q+12.24</f>
        <v>5.7780000000000005</v>
      </c>
      <c r="W87" s="67" t="str">
        <f t="shared" si="18"/>
        <v/>
      </c>
      <c r="Y87" s="51">
        <v>48</v>
      </c>
      <c r="Z87" s="51" t="s">
        <v>321</v>
      </c>
      <c r="AA87" s="51">
        <v>50</v>
      </c>
      <c r="AB87" s="51" t="s">
        <v>319</v>
      </c>
      <c r="AC87" s="42">
        <v>1.4</v>
      </c>
      <c r="AD87" s="40">
        <v>2900</v>
      </c>
      <c r="AE87" s="51">
        <v>358</v>
      </c>
      <c r="AF87" s="37">
        <v>110</v>
      </c>
      <c r="AG87" s="57" t="s">
        <v>400</v>
      </c>
      <c r="AH87" s="158">
        <f>-0.0858*Q^2+3.6368*Q+36.26</f>
        <v>74.676000000000002</v>
      </c>
      <c r="AI87" s="351">
        <f t="shared" si="19"/>
        <v>3400000</v>
      </c>
    </row>
    <row r="88" spans="1:35">
      <c r="A88" s="51" t="s">
        <v>152</v>
      </c>
      <c r="B88" s="51" t="s">
        <v>153</v>
      </c>
      <c r="C88" s="52" t="s">
        <v>159</v>
      </c>
      <c r="D88" s="55">
        <v>2.4</v>
      </c>
      <c r="E88" s="55">
        <v>6</v>
      </c>
      <c r="F88" s="55">
        <v>9</v>
      </c>
      <c r="G88" s="55">
        <v>12</v>
      </c>
      <c r="H88" s="55">
        <v>18</v>
      </c>
      <c r="I88" s="55">
        <v>24</v>
      </c>
      <c r="J88" s="55">
        <v>33</v>
      </c>
      <c r="K88" s="56">
        <v>10.5</v>
      </c>
      <c r="L88" s="56">
        <v>9.8000000000000007</v>
      </c>
      <c r="M88" s="56">
        <v>9</v>
      </c>
      <c r="N88" s="56">
        <v>8.1</v>
      </c>
      <c r="O88" s="56">
        <v>6.2</v>
      </c>
      <c r="P88" s="56">
        <v>4.3</v>
      </c>
      <c r="Q88" s="56">
        <v>1.2</v>
      </c>
      <c r="R88" s="57" t="s">
        <v>254</v>
      </c>
      <c r="S88" s="57">
        <v>0.99939999999999996</v>
      </c>
      <c r="T88" s="73"/>
      <c r="U88" s="65">
        <f t="shared" si="17"/>
        <v>20</v>
      </c>
      <c r="V88" s="68">
        <f>-0.0021*Q^2-0.2352*Q+11.194</f>
        <v>5.6500000000000012</v>
      </c>
      <c r="W88" s="67" t="str">
        <f t="shared" si="18"/>
        <v/>
      </c>
      <c r="Y88" s="51">
        <v>50</v>
      </c>
      <c r="Z88" s="51" t="s">
        <v>321</v>
      </c>
      <c r="AA88" s="51">
        <v>50</v>
      </c>
      <c r="AB88" s="51" t="s">
        <v>318</v>
      </c>
      <c r="AC88" s="42">
        <v>1.1000000000000001</v>
      </c>
      <c r="AD88" s="40">
        <v>2900</v>
      </c>
      <c r="AE88" s="51">
        <v>339</v>
      </c>
      <c r="AF88" s="37">
        <v>110</v>
      </c>
      <c r="AG88" s="57" t="s">
        <v>401</v>
      </c>
      <c r="AH88" s="158">
        <f>-0.1196*Q^2+5.229*Q+16.776</f>
        <v>73.516000000000005</v>
      </c>
      <c r="AI88" s="351">
        <f t="shared" si="19"/>
        <v>3500000</v>
      </c>
    </row>
    <row r="89" spans="1:35">
      <c r="A89" s="51" t="s">
        <v>152</v>
      </c>
      <c r="B89" s="51" t="s">
        <v>153</v>
      </c>
      <c r="C89" s="52" t="s">
        <v>160</v>
      </c>
      <c r="D89" s="55">
        <v>2.4</v>
      </c>
      <c r="E89" s="55">
        <v>6</v>
      </c>
      <c r="F89" s="55">
        <v>9</v>
      </c>
      <c r="G89" s="55">
        <v>12</v>
      </c>
      <c r="H89" s="55">
        <v>18</v>
      </c>
      <c r="I89" s="55">
        <v>24</v>
      </c>
      <c r="J89" s="55">
        <v>36</v>
      </c>
      <c r="K89" s="56">
        <v>12</v>
      </c>
      <c r="L89" s="56">
        <v>11</v>
      </c>
      <c r="M89" s="56">
        <v>10.199999999999999</v>
      </c>
      <c r="N89" s="56">
        <v>9.4</v>
      </c>
      <c r="O89" s="56">
        <v>6.8</v>
      </c>
      <c r="P89" s="56">
        <v>5.8</v>
      </c>
      <c r="Q89" s="56">
        <v>1</v>
      </c>
      <c r="R89" s="57" t="s">
        <v>255</v>
      </c>
      <c r="S89" s="57">
        <v>0.99390000000000001</v>
      </c>
      <c r="T89" s="73"/>
      <c r="U89" s="65">
        <f t="shared" si="17"/>
        <v>20</v>
      </c>
      <c r="V89" s="68">
        <f>-0.0015*Q^2-0.2667*Q+12.661</f>
        <v>6.7270000000000003</v>
      </c>
      <c r="W89" s="67" t="str">
        <f t="shared" si="18"/>
        <v>OK</v>
      </c>
      <c r="Y89" s="51">
        <v>50</v>
      </c>
      <c r="Z89" s="51" t="s">
        <v>321</v>
      </c>
      <c r="AA89" s="51">
        <v>50</v>
      </c>
      <c r="AB89" s="51" t="s">
        <v>318</v>
      </c>
      <c r="AC89" s="42">
        <v>1.8</v>
      </c>
      <c r="AD89" s="40">
        <v>2900</v>
      </c>
      <c r="AE89" s="51">
        <v>339</v>
      </c>
      <c r="AF89" s="37">
        <v>110</v>
      </c>
      <c r="AG89" s="57" t="s">
        <v>402</v>
      </c>
      <c r="AH89" s="158">
        <f>-0.0571*Q^2+2.638*Q+39.338</f>
        <v>69.257999999999996</v>
      </c>
      <c r="AI89" s="351">
        <f t="shared" si="19"/>
        <v>3600000</v>
      </c>
    </row>
    <row r="90" spans="1:35">
      <c r="A90" s="51" t="s">
        <v>152</v>
      </c>
      <c r="B90" s="51" t="s">
        <v>153</v>
      </c>
      <c r="C90" s="52" t="s">
        <v>161</v>
      </c>
      <c r="D90" s="55">
        <v>2.4</v>
      </c>
      <c r="E90" s="55">
        <v>6</v>
      </c>
      <c r="F90" s="55">
        <v>9</v>
      </c>
      <c r="G90" s="55">
        <v>12</v>
      </c>
      <c r="H90" s="55">
        <v>18</v>
      </c>
      <c r="I90" s="55">
        <v>24</v>
      </c>
      <c r="J90" s="55">
        <v>36</v>
      </c>
      <c r="K90" s="56">
        <v>14</v>
      </c>
      <c r="L90" s="56">
        <v>12.7</v>
      </c>
      <c r="M90" s="56">
        <v>11.8</v>
      </c>
      <c r="N90" s="56">
        <v>10.5</v>
      </c>
      <c r="O90" s="56">
        <v>8.5</v>
      </c>
      <c r="P90" s="56">
        <v>6.4</v>
      </c>
      <c r="Q90" s="56">
        <v>3</v>
      </c>
      <c r="R90" s="57" t="s">
        <v>256</v>
      </c>
      <c r="S90" s="57">
        <v>0.99929999999999997</v>
      </c>
      <c r="T90" s="73"/>
      <c r="U90" s="65">
        <f t="shared" si="17"/>
        <v>20</v>
      </c>
      <c r="V90" s="68">
        <f>0.0016*Q^2-0.3921*Q+15.013</f>
        <v>7.8109999999999991</v>
      </c>
      <c r="W90" s="67" t="str">
        <f t="shared" si="18"/>
        <v>OK</v>
      </c>
      <c r="Y90" s="51">
        <v>50</v>
      </c>
      <c r="Z90" s="51" t="s">
        <v>321</v>
      </c>
      <c r="AA90" s="51">
        <v>50</v>
      </c>
      <c r="AB90" s="51" t="s">
        <v>318</v>
      </c>
      <c r="AC90" s="42">
        <v>1.8</v>
      </c>
      <c r="AD90" s="40">
        <v>2900</v>
      </c>
      <c r="AE90" s="51">
        <v>339</v>
      </c>
      <c r="AF90" s="37">
        <v>110</v>
      </c>
      <c r="AG90" s="57" t="s">
        <v>403</v>
      </c>
      <c r="AH90" s="158">
        <f>-0.0708*Q^2+3.2442*Q+37.989</f>
        <v>74.552999999999997</v>
      </c>
      <c r="AI90" s="351">
        <f t="shared" si="19"/>
        <v>3700000</v>
      </c>
    </row>
    <row r="91" spans="1:35">
      <c r="A91" s="51" t="s">
        <v>152</v>
      </c>
      <c r="B91" s="51" t="s">
        <v>153</v>
      </c>
      <c r="C91" s="52" t="s">
        <v>162</v>
      </c>
      <c r="D91" s="55">
        <v>2.4</v>
      </c>
      <c r="E91" s="55">
        <v>6</v>
      </c>
      <c r="F91" s="55">
        <v>9</v>
      </c>
      <c r="G91" s="55">
        <v>12</v>
      </c>
      <c r="H91" s="55">
        <v>18</v>
      </c>
      <c r="I91" s="55">
        <v>24</v>
      </c>
      <c r="J91" s="55">
        <v>36</v>
      </c>
      <c r="K91" s="56">
        <v>12.2</v>
      </c>
      <c r="L91" s="56">
        <v>11.5</v>
      </c>
      <c r="M91" s="56">
        <v>10.6</v>
      </c>
      <c r="N91" s="56">
        <v>9.9</v>
      </c>
      <c r="O91" s="56">
        <v>8</v>
      </c>
      <c r="P91" s="56">
        <v>6</v>
      </c>
      <c r="Q91" s="56">
        <v>1</v>
      </c>
      <c r="R91" s="57" t="s">
        <v>257</v>
      </c>
      <c r="S91" s="57">
        <v>0.99980000000000002</v>
      </c>
      <c r="T91" s="73"/>
      <c r="U91" s="65">
        <f t="shared" si="17"/>
        <v>20</v>
      </c>
      <c r="V91" s="68">
        <f>-0.0037*Q^2-0.1931*Q+12.71</f>
        <v>7.3680000000000003</v>
      </c>
      <c r="W91" s="67" t="str">
        <f t="shared" si="18"/>
        <v>OK</v>
      </c>
      <c r="Y91" s="51">
        <v>50</v>
      </c>
      <c r="Z91" s="51" t="s">
        <v>321</v>
      </c>
      <c r="AA91" s="51">
        <v>50</v>
      </c>
      <c r="AB91" s="51" t="s">
        <v>319</v>
      </c>
      <c r="AC91" s="42">
        <v>1.4</v>
      </c>
      <c r="AD91" s="40">
        <v>2900</v>
      </c>
      <c r="AE91" s="51">
        <v>339</v>
      </c>
      <c r="AF91" s="37">
        <v>110</v>
      </c>
      <c r="AG91" s="57" t="s">
        <v>402</v>
      </c>
      <c r="AH91" s="158">
        <f>-0.0571*Q^2+2.638*Q+39.338</f>
        <v>69.257999999999996</v>
      </c>
      <c r="AI91" s="351">
        <f t="shared" si="19"/>
        <v>3800000</v>
      </c>
    </row>
    <row r="92" spans="1:35">
      <c r="A92" s="51" t="s">
        <v>152</v>
      </c>
      <c r="B92" s="51" t="s">
        <v>153</v>
      </c>
      <c r="C92" s="52" t="s">
        <v>163</v>
      </c>
      <c r="D92" s="55">
        <v>2.4</v>
      </c>
      <c r="E92" s="55">
        <v>6</v>
      </c>
      <c r="F92" s="55">
        <v>9</v>
      </c>
      <c r="G92" s="55">
        <v>12</v>
      </c>
      <c r="H92" s="55">
        <v>18</v>
      </c>
      <c r="I92" s="55">
        <v>24</v>
      </c>
      <c r="J92" s="55">
        <v>36</v>
      </c>
      <c r="K92" s="56">
        <v>14.6</v>
      </c>
      <c r="L92" s="56">
        <v>13.4</v>
      </c>
      <c r="M92" s="56">
        <v>12.4</v>
      </c>
      <c r="N92" s="56">
        <v>11.6</v>
      </c>
      <c r="O92" s="56">
        <v>9.5</v>
      </c>
      <c r="P92" s="56">
        <v>7.7</v>
      </c>
      <c r="Q92" s="56">
        <v>3.6</v>
      </c>
      <c r="R92" s="57" t="s">
        <v>258</v>
      </c>
      <c r="S92" s="57">
        <v>0.99970000000000003</v>
      </c>
      <c r="T92" s="73"/>
      <c r="U92" s="65">
        <f t="shared" si="17"/>
        <v>20</v>
      </c>
      <c r="V92" s="68">
        <f>-0.0004*Q^2-0.3115*Q+15.308</f>
        <v>8.9179999999999993</v>
      </c>
      <c r="W92" s="67" t="str">
        <f t="shared" si="18"/>
        <v/>
      </c>
      <c r="Y92" s="51">
        <v>50</v>
      </c>
      <c r="Z92" s="51" t="s">
        <v>321</v>
      </c>
      <c r="AA92" s="51">
        <v>50</v>
      </c>
      <c r="AB92" s="51" t="s">
        <v>319</v>
      </c>
      <c r="AC92" s="42">
        <v>2.4</v>
      </c>
      <c r="AD92" s="40">
        <v>2900</v>
      </c>
      <c r="AE92" s="51">
        <v>339</v>
      </c>
      <c r="AF92" s="37">
        <v>110</v>
      </c>
      <c r="AG92" s="57" t="s">
        <v>404</v>
      </c>
      <c r="AH92" s="158">
        <f>-0.0763*Q^2+3.0947*Q+39.356</f>
        <v>70.72999999999999</v>
      </c>
      <c r="AI92" s="351">
        <f t="shared" si="19"/>
        <v>3900000</v>
      </c>
    </row>
    <row r="93" spans="1:35">
      <c r="A93" s="51" t="s">
        <v>152</v>
      </c>
      <c r="B93" s="51" t="s">
        <v>153</v>
      </c>
      <c r="C93" s="52" t="s">
        <v>164</v>
      </c>
      <c r="D93" s="55">
        <v>6</v>
      </c>
      <c r="E93" s="55">
        <v>12</v>
      </c>
      <c r="F93" s="55">
        <v>18</v>
      </c>
      <c r="G93" s="55">
        <v>24</v>
      </c>
      <c r="H93" s="55">
        <v>30</v>
      </c>
      <c r="I93" s="55">
        <v>36</v>
      </c>
      <c r="J93" s="55">
        <v>48</v>
      </c>
      <c r="K93" s="56">
        <v>9.1999999999999993</v>
      </c>
      <c r="L93" s="56">
        <v>7.8</v>
      </c>
      <c r="M93" s="56">
        <v>6.5</v>
      </c>
      <c r="N93" s="56">
        <v>5</v>
      </c>
      <c r="O93" s="56">
        <v>3.9</v>
      </c>
      <c r="P93" s="56">
        <v>2.8</v>
      </c>
      <c r="Q93" s="56">
        <v>1</v>
      </c>
      <c r="R93" s="57" t="s">
        <v>259</v>
      </c>
      <c r="S93" s="57">
        <v>0.99939999999999996</v>
      </c>
      <c r="T93" s="73"/>
      <c r="U93" s="65">
        <f t="shared" si="17"/>
        <v>20</v>
      </c>
      <c r="V93" s="68">
        <f>0.0014*Q^2-0.2744*Q+10.851</f>
        <v>5.9230000000000009</v>
      </c>
      <c r="W93" s="67" t="str">
        <f t="shared" si="18"/>
        <v/>
      </c>
      <c r="Y93" s="51">
        <v>65</v>
      </c>
      <c r="Z93" s="51" t="s">
        <v>321</v>
      </c>
      <c r="AA93" s="51">
        <v>65</v>
      </c>
      <c r="AB93" s="51" t="s">
        <v>318</v>
      </c>
      <c r="AC93" s="42">
        <v>1.9</v>
      </c>
      <c r="AD93" s="40">
        <v>2900</v>
      </c>
      <c r="AE93" s="51">
        <v>367</v>
      </c>
      <c r="AF93" s="37">
        <v>110</v>
      </c>
      <c r="AG93" s="57" t="s">
        <v>405</v>
      </c>
      <c r="AH93" s="158">
        <f>-0.0417*Q^2+2.7497*Q+27.769</f>
        <v>66.082999999999998</v>
      </c>
      <c r="AI93" s="351">
        <f t="shared" si="19"/>
        <v>4000000</v>
      </c>
    </row>
    <row r="94" spans="1:35">
      <c r="A94" s="51" t="s">
        <v>152</v>
      </c>
      <c r="B94" s="51" t="s">
        <v>153</v>
      </c>
      <c r="C94" s="52" t="s">
        <v>165</v>
      </c>
      <c r="D94" s="55">
        <v>6</v>
      </c>
      <c r="E94" s="55">
        <v>12</v>
      </c>
      <c r="F94" s="55">
        <v>18</v>
      </c>
      <c r="G94" s="55">
        <v>24</v>
      </c>
      <c r="H94" s="55">
        <v>30</v>
      </c>
      <c r="I94" s="55">
        <v>36</v>
      </c>
      <c r="J94" s="55">
        <v>48</v>
      </c>
      <c r="K94" s="56">
        <v>9.4</v>
      </c>
      <c r="L94" s="56">
        <v>7.9</v>
      </c>
      <c r="M94" s="56">
        <v>6.4</v>
      </c>
      <c r="N94" s="56">
        <v>5.0999999999999996</v>
      </c>
      <c r="O94" s="56">
        <v>3.9</v>
      </c>
      <c r="P94" s="56">
        <v>2.9</v>
      </c>
      <c r="Q94" s="56">
        <v>1</v>
      </c>
      <c r="R94" s="57" t="s">
        <v>260</v>
      </c>
      <c r="S94" s="57">
        <v>0.99990000000000001</v>
      </c>
      <c r="T94" s="73"/>
      <c r="U94" s="65">
        <f t="shared" si="17"/>
        <v>20</v>
      </c>
      <c r="V94" s="68">
        <f>0.0016*Q^2-0.286*Q+11.064</f>
        <v>5.984</v>
      </c>
      <c r="W94" s="67" t="str">
        <f t="shared" si="18"/>
        <v/>
      </c>
      <c r="Y94" s="51">
        <v>65</v>
      </c>
      <c r="Z94" s="51" t="s">
        <v>321</v>
      </c>
      <c r="AA94" s="51">
        <v>65</v>
      </c>
      <c r="AB94" s="51" t="s">
        <v>319</v>
      </c>
      <c r="AC94" s="42">
        <v>2.2999999999999998</v>
      </c>
      <c r="AD94" s="40">
        <v>2900</v>
      </c>
      <c r="AE94" s="51">
        <v>367</v>
      </c>
      <c r="AF94" s="37">
        <v>110</v>
      </c>
      <c r="AG94" s="57" t="s">
        <v>406</v>
      </c>
      <c r="AH94" s="158">
        <f>-0.0335*Q^2+2.2237*Q+31.136</f>
        <v>62.210000000000008</v>
      </c>
      <c r="AI94" s="351">
        <f t="shared" si="19"/>
        <v>4100000</v>
      </c>
    </row>
    <row r="95" spans="1:35">
      <c r="A95" s="51" t="s">
        <v>152</v>
      </c>
      <c r="B95" s="51" t="s">
        <v>153</v>
      </c>
      <c r="C95" s="52" t="s">
        <v>166</v>
      </c>
      <c r="D95" s="55">
        <v>6</v>
      </c>
      <c r="E95" s="55">
        <v>12</v>
      </c>
      <c r="F95" s="55">
        <v>18</v>
      </c>
      <c r="G95" s="55">
        <v>24</v>
      </c>
      <c r="H95" s="55">
        <v>30</v>
      </c>
      <c r="I95" s="55">
        <v>36</v>
      </c>
      <c r="J95" s="55">
        <v>48</v>
      </c>
      <c r="K95" s="56">
        <v>10.8</v>
      </c>
      <c r="L95" s="56">
        <v>9.1999999999999993</v>
      </c>
      <c r="M95" s="56">
        <v>7.6</v>
      </c>
      <c r="N95" s="56">
        <v>6.3</v>
      </c>
      <c r="O95" s="56">
        <v>4.8</v>
      </c>
      <c r="P95" s="56">
        <v>3.5</v>
      </c>
      <c r="Q95" s="56">
        <v>1.3</v>
      </c>
      <c r="R95" s="57" t="s">
        <v>261</v>
      </c>
      <c r="S95" s="57">
        <v>0.99970000000000003</v>
      </c>
      <c r="T95" s="73"/>
      <c r="U95" s="65">
        <f t="shared" si="17"/>
        <v>20</v>
      </c>
      <c r="V95" s="68">
        <f>0.0012*Q^2-0.2938*Q+12.532</f>
        <v>7.1359999999999992</v>
      </c>
      <c r="W95" s="67" t="str">
        <f t="shared" si="18"/>
        <v>OK</v>
      </c>
      <c r="Y95" s="51">
        <v>65</v>
      </c>
      <c r="Z95" s="51" t="s">
        <v>321</v>
      </c>
      <c r="AA95" s="51">
        <v>65</v>
      </c>
      <c r="AB95" s="51" t="s">
        <v>319</v>
      </c>
      <c r="AC95" s="42">
        <v>2.2999999999999998</v>
      </c>
      <c r="AD95" s="40">
        <v>2900</v>
      </c>
      <c r="AE95" s="51">
        <v>367</v>
      </c>
      <c r="AF95" s="37">
        <v>110</v>
      </c>
      <c r="AG95" s="57" t="s">
        <v>405</v>
      </c>
      <c r="AH95" s="158">
        <f>-0.0417*Q^2+2.7497*Q+27.769</f>
        <v>66.082999999999998</v>
      </c>
      <c r="AI95" s="351">
        <f t="shared" si="19"/>
        <v>4200000</v>
      </c>
    </row>
    <row r="96" spans="1:35">
      <c r="A96" s="51" t="s">
        <v>152</v>
      </c>
      <c r="B96" s="51" t="s">
        <v>153</v>
      </c>
      <c r="C96" s="52" t="s">
        <v>167</v>
      </c>
      <c r="D96" s="55">
        <v>6</v>
      </c>
      <c r="E96" s="55">
        <v>12</v>
      </c>
      <c r="F96" s="55">
        <v>18</v>
      </c>
      <c r="G96" s="55">
        <v>30</v>
      </c>
      <c r="H96" s="55">
        <v>42</v>
      </c>
      <c r="I96" s="55">
        <v>54</v>
      </c>
      <c r="J96" s="55">
        <v>60</v>
      </c>
      <c r="K96" s="56">
        <v>11.5</v>
      </c>
      <c r="L96" s="56">
        <v>10</v>
      </c>
      <c r="M96" s="56">
        <v>8.8000000000000007</v>
      </c>
      <c r="N96" s="56">
        <v>6.6</v>
      </c>
      <c r="O96" s="56">
        <v>4.3</v>
      </c>
      <c r="P96" s="56">
        <v>2.2999999999999998</v>
      </c>
      <c r="Q96" s="56">
        <v>1.2</v>
      </c>
      <c r="R96" s="57" t="s">
        <v>262</v>
      </c>
      <c r="S96" s="57">
        <v>0.99950000000000006</v>
      </c>
      <c r="T96" s="73"/>
      <c r="U96" s="65">
        <f t="shared" si="17"/>
        <v>20</v>
      </c>
      <c r="V96" s="68">
        <f>0.0005*Q^2-0.2211*Q+12.695</f>
        <v>8.4730000000000008</v>
      </c>
      <c r="W96" s="67" t="str">
        <f t="shared" si="18"/>
        <v/>
      </c>
      <c r="Y96" s="51">
        <v>65</v>
      </c>
      <c r="Z96" s="51" t="s">
        <v>321</v>
      </c>
      <c r="AA96" s="51">
        <v>65</v>
      </c>
      <c r="AB96" s="51" t="s">
        <v>319</v>
      </c>
      <c r="AC96" s="42">
        <v>3.2</v>
      </c>
      <c r="AD96" s="40">
        <v>2900</v>
      </c>
      <c r="AE96" s="51">
        <v>399</v>
      </c>
      <c r="AF96" s="37">
        <v>110</v>
      </c>
      <c r="AG96" s="57" t="s">
        <v>407</v>
      </c>
      <c r="AH96" s="158">
        <f>-0.034*Q^2+2.4213*Q+30.195</f>
        <v>65.021000000000001</v>
      </c>
      <c r="AI96" s="351">
        <f t="shared" si="19"/>
        <v>4300000</v>
      </c>
    </row>
    <row r="97" spans="1:35">
      <c r="A97" s="51" t="s">
        <v>152</v>
      </c>
      <c r="B97" s="51" t="s">
        <v>153</v>
      </c>
      <c r="C97" s="52" t="s">
        <v>168</v>
      </c>
      <c r="D97" s="55">
        <v>6</v>
      </c>
      <c r="E97" s="55">
        <v>12</v>
      </c>
      <c r="F97" s="55">
        <v>18</v>
      </c>
      <c r="G97" s="55">
        <v>30</v>
      </c>
      <c r="H97" s="55">
        <v>42</v>
      </c>
      <c r="I97" s="55">
        <v>54</v>
      </c>
      <c r="J97" s="55">
        <v>60</v>
      </c>
      <c r="K97" s="56">
        <v>14.3</v>
      </c>
      <c r="L97" s="56">
        <v>13.1</v>
      </c>
      <c r="M97" s="56">
        <v>11.9</v>
      </c>
      <c r="N97" s="56">
        <v>9.6</v>
      </c>
      <c r="O97" s="56">
        <v>7.5</v>
      </c>
      <c r="P97" s="56">
        <v>5.9</v>
      </c>
      <c r="Q97" s="56">
        <v>3.6</v>
      </c>
      <c r="R97" s="57" t="s">
        <v>263</v>
      </c>
      <c r="S97" s="57">
        <v>0.99219999999999997</v>
      </c>
      <c r="T97" s="73"/>
      <c r="U97" s="65">
        <f t="shared" si="17"/>
        <v>20</v>
      </c>
      <c r="V97" s="68">
        <f>-0.0001*Q^2-0.1798*Q+15.274</f>
        <v>11.638</v>
      </c>
      <c r="W97" s="67" t="str">
        <f t="shared" si="18"/>
        <v/>
      </c>
      <c r="Y97" s="51">
        <v>65</v>
      </c>
      <c r="Z97" s="51" t="s">
        <v>321</v>
      </c>
      <c r="AA97" s="51">
        <v>65</v>
      </c>
      <c r="AB97" s="51" t="s">
        <v>319</v>
      </c>
      <c r="AC97" s="42">
        <v>4.0999999999999996</v>
      </c>
      <c r="AD97" s="40">
        <v>2900</v>
      </c>
      <c r="AE97" s="51">
        <v>426</v>
      </c>
      <c r="AF97" s="37">
        <v>110</v>
      </c>
      <c r="AG97" s="57" t="s">
        <v>408</v>
      </c>
      <c r="AH97" s="158">
        <f>-0.0211*Q^2+1.6968*Q+35.037</f>
        <v>60.533000000000001</v>
      </c>
      <c r="AI97" s="351">
        <f t="shared" si="19"/>
        <v>4400000</v>
      </c>
    </row>
    <row r="98" spans="1:35">
      <c r="A98" s="51" t="s">
        <v>152</v>
      </c>
      <c r="B98" s="51" t="s">
        <v>153</v>
      </c>
      <c r="C98" s="53" t="s">
        <v>169</v>
      </c>
      <c r="D98" s="55">
        <v>6</v>
      </c>
      <c r="E98" s="55">
        <v>12</v>
      </c>
      <c r="F98" s="55">
        <v>18</v>
      </c>
      <c r="G98" s="55">
        <v>24</v>
      </c>
      <c r="H98" s="55">
        <v>30</v>
      </c>
      <c r="I98" s="55">
        <v>36</v>
      </c>
      <c r="J98" s="55">
        <v>48</v>
      </c>
      <c r="K98" s="56">
        <v>8</v>
      </c>
      <c r="L98" s="56">
        <v>7.1</v>
      </c>
      <c r="M98" s="56">
        <v>6.1</v>
      </c>
      <c r="N98" s="56">
        <v>5.3</v>
      </c>
      <c r="O98" s="56">
        <v>4.3</v>
      </c>
      <c r="P98" s="56">
        <v>3.5</v>
      </c>
      <c r="Q98" s="56">
        <v>1.9</v>
      </c>
      <c r="R98" s="57" t="s">
        <v>264</v>
      </c>
      <c r="S98" s="58">
        <v>0.99960000000000004</v>
      </c>
      <c r="T98" s="72"/>
      <c r="U98" s="65">
        <f t="shared" si="17"/>
        <v>20</v>
      </c>
      <c r="V98" s="68">
        <f>0.0004*Q^2-0.1664*Q+9.0062</f>
        <v>5.8382000000000005</v>
      </c>
      <c r="W98" s="67" t="str">
        <f t="shared" si="18"/>
        <v/>
      </c>
      <c r="Y98" s="51">
        <v>60</v>
      </c>
      <c r="Z98" s="51" t="s">
        <v>321</v>
      </c>
      <c r="AA98" s="51">
        <v>80</v>
      </c>
      <c r="AB98" s="51" t="s">
        <v>318</v>
      </c>
      <c r="AC98" s="42">
        <v>1.8</v>
      </c>
      <c r="AD98" s="40">
        <v>2900</v>
      </c>
      <c r="AE98" s="51">
        <v>418</v>
      </c>
      <c r="AF98" s="37">
        <v>110</v>
      </c>
      <c r="AG98" s="57" t="s">
        <v>405</v>
      </c>
      <c r="AH98" s="158">
        <f>-0.0417*Q^2+2.7497*Q+27.769</f>
        <v>66.082999999999998</v>
      </c>
      <c r="AI98" s="351">
        <f t="shared" si="19"/>
        <v>4500000</v>
      </c>
    </row>
    <row r="99" spans="1:35">
      <c r="A99" s="51" t="s">
        <v>152</v>
      </c>
      <c r="B99" s="51" t="s">
        <v>153</v>
      </c>
      <c r="C99" s="53" t="s">
        <v>170</v>
      </c>
      <c r="D99" s="55">
        <v>6</v>
      </c>
      <c r="E99" s="55">
        <v>12</v>
      </c>
      <c r="F99" s="55">
        <v>18</v>
      </c>
      <c r="G99" s="55">
        <v>24</v>
      </c>
      <c r="H99" s="55">
        <v>30</v>
      </c>
      <c r="I99" s="55">
        <v>36</v>
      </c>
      <c r="J99" s="55">
        <v>48</v>
      </c>
      <c r="K99" s="56">
        <v>8</v>
      </c>
      <c r="L99" s="56">
        <v>7.1</v>
      </c>
      <c r="M99" s="56">
        <v>6.1</v>
      </c>
      <c r="N99" s="56">
        <v>5.3</v>
      </c>
      <c r="O99" s="56">
        <v>4.3</v>
      </c>
      <c r="P99" s="56">
        <v>3.5</v>
      </c>
      <c r="Q99" s="56">
        <v>1.9</v>
      </c>
      <c r="R99" s="57" t="s">
        <v>264</v>
      </c>
      <c r="S99" s="58">
        <v>0.99960000000000004</v>
      </c>
      <c r="T99" s="72"/>
      <c r="U99" s="65">
        <f t="shared" si="17"/>
        <v>20</v>
      </c>
      <c r="V99" s="68">
        <f>0.0004*Q^2-0.1664*Q+9.0062</f>
        <v>5.8382000000000005</v>
      </c>
      <c r="W99" s="67" t="str">
        <f t="shared" si="18"/>
        <v/>
      </c>
      <c r="Y99" s="51">
        <v>60</v>
      </c>
      <c r="Z99" s="51" t="s">
        <v>321</v>
      </c>
      <c r="AA99" s="51">
        <v>80</v>
      </c>
      <c r="AB99" s="51" t="s">
        <v>319</v>
      </c>
      <c r="AC99" s="42">
        <v>2.4</v>
      </c>
      <c r="AD99" s="40">
        <v>2900</v>
      </c>
      <c r="AE99" s="51">
        <v>418</v>
      </c>
      <c r="AF99" s="37">
        <v>110</v>
      </c>
      <c r="AG99" s="57" t="s">
        <v>406</v>
      </c>
      <c r="AH99" s="158">
        <f>-0.0335*Q^2+2.2237*Q+31.136</f>
        <v>62.210000000000008</v>
      </c>
      <c r="AI99" s="351">
        <f t="shared" si="19"/>
        <v>4600000</v>
      </c>
    </row>
    <row r="100" spans="1:35">
      <c r="A100" s="51" t="s">
        <v>152</v>
      </c>
      <c r="B100" s="51" t="s">
        <v>153</v>
      </c>
      <c r="C100" s="53" t="s">
        <v>171</v>
      </c>
      <c r="D100" s="55">
        <v>6</v>
      </c>
      <c r="E100" s="55">
        <v>12</v>
      </c>
      <c r="F100" s="55">
        <v>18</v>
      </c>
      <c r="G100" s="55">
        <v>30</v>
      </c>
      <c r="H100" s="55">
        <v>42</v>
      </c>
      <c r="I100" s="55">
        <v>54</v>
      </c>
      <c r="J100" s="55">
        <v>60</v>
      </c>
      <c r="K100" s="56">
        <v>14</v>
      </c>
      <c r="L100" s="56">
        <v>12.2</v>
      </c>
      <c r="M100" s="56">
        <v>11</v>
      </c>
      <c r="N100" s="56">
        <v>8</v>
      </c>
      <c r="O100" s="56">
        <v>5.5</v>
      </c>
      <c r="P100" s="56">
        <v>2.5</v>
      </c>
      <c r="Q100" s="56">
        <v>1.5</v>
      </c>
      <c r="R100" s="57" t="s">
        <v>265</v>
      </c>
      <c r="S100" s="58">
        <v>0.999</v>
      </c>
      <c r="T100" s="72"/>
      <c r="U100" s="65">
        <f t="shared" ref="U100:U113" si="20">Q</f>
        <v>20</v>
      </c>
      <c r="V100" s="68">
        <f>0.0004*Q^2-0.2572*Q+15.422</f>
        <v>10.438000000000001</v>
      </c>
      <c r="W100" s="67" t="str">
        <f t="shared" ref="W100:W113" si="21">IF(AND(V100&gt;H-1,V100&lt;H+1,V100&gt;Q100),"OK","")</f>
        <v/>
      </c>
      <c r="Y100" s="51">
        <v>50</v>
      </c>
      <c r="Z100" s="51" t="s">
        <v>321</v>
      </c>
      <c r="AA100" s="51">
        <v>80</v>
      </c>
      <c r="AB100" s="51" t="s">
        <v>319</v>
      </c>
      <c r="AC100" s="42">
        <v>3.2</v>
      </c>
      <c r="AD100" s="40">
        <v>2900</v>
      </c>
      <c r="AE100" s="51">
        <v>447</v>
      </c>
      <c r="AF100" s="37">
        <v>110</v>
      </c>
      <c r="AG100" s="57" t="s">
        <v>407</v>
      </c>
      <c r="AH100" s="158">
        <f>-0.034*Q^2+2.4213*Q+30.195</f>
        <v>65.021000000000001</v>
      </c>
      <c r="AI100" s="351">
        <f t="shared" si="19"/>
        <v>4700000</v>
      </c>
    </row>
    <row r="101" spans="1:35">
      <c r="A101" s="51" t="s">
        <v>152</v>
      </c>
      <c r="B101" s="51" t="s">
        <v>153</v>
      </c>
      <c r="C101" s="53" t="s">
        <v>172</v>
      </c>
      <c r="D101" s="55">
        <v>6</v>
      </c>
      <c r="E101" s="55">
        <v>12</v>
      </c>
      <c r="F101" s="55">
        <v>18</v>
      </c>
      <c r="G101" s="55">
        <v>30</v>
      </c>
      <c r="H101" s="55">
        <v>42</v>
      </c>
      <c r="I101" s="55">
        <v>54</v>
      </c>
      <c r="J101" s="55">
        <v>60</v>
      </c>
      <c r="K101" s="56">
        <v>16.5</v>
      </c>
      <c r="L101" s="56">
        <v>14</v>
      </c>
      <c r="M101" s="56">
        <v>13</v>
      </c>
      <c r="N101" s="56">
        <v>9.8000000000000007</v>
      </c>
      <c r="O101" s="56">
        <v>7</v>
      </c>
      <c r="P101" s="56">
        <v>4</v>
      </c>
      <c r="Q101" s="56">
        <v>2.5</v>
      </c>
      <c r="R101" s="57" t="s">
        <v>266</v>
      </c>
      <c r="S101" s="58">
        <v>0.99739999999999995</v>
      </c>
      <c r="T101" s="72"/>
      <c r="U101" s="65">
        <f t="shared" si="20"/>
        <v>20</v>
      </c>
      <c r="V101" s="68">
        <f>0.0004*Q^2-0.2799*Q+17.817</f>
        <v>12.379000000000001</v>
      </c>
      <c r="W101" s="67" t="str">
        <f t="shared" si="21"/>
        <v/>
      </c>
      <c r="Y101" s="51">
        <v>50</v>
      </c>
      <c r="Z101" s="51" t="s">
        <v>321</v>
      </c>
      <c r="AA101" s="51">
        <v>80</v>
      </c>
      <c r="AB101" s="51" t="s">
        <v>319</v>
      </c>
      <c r="AC101" s="42">
        <v>3.2</v>
      </c>
      <c r="AD101" s="40">
        <v>2900</v>
      </c>
      <c r="AE101" s="51">
        <v>447</v>
      </c>
      <c r="AF101" s="37">
        <v>110</v>
      </c>
      <c r="AG101" s="57" t="s">
        <v>409</v>
      </c>
      <c r="AH101" s="158">
        <f>-0.026*Q^2+2.088*Q+32.673</f>
        <v>64.033000000000015</v>
      </c>
      <c r="AI101" s="351">
        <f t="shared" si="19"/>
        <v>4800000</v>
      </c>
    </row>
    <row r="102" spans="1:35">
      <c r="A102" s="51" t="s">
        <v>152</v>
      </c>
      <c r="B102" s="51" t="s">
        <v>153</v>
      </c>
      <c r="C102" s="53" t="s">
        <v>173</v>
      </c>
      <c r="D102" s="59">
        <v>15</v>
      </c>
      <c r="E102" s="59">
        <v>24</v>
      </c>
      <c r="F102" s="59">
        <v>30</v>
      </c>
      <c r="G102" s="59">
        <v>36</v>
      </c>
      <c r="H102" s="59">
        <v>42</v>
      </c>
      <c r="I102" s="59">
        <v>48</v>
      </c>
      <c r="J102" s="59">
        <v>54</v>
      </c>
      <c r="K102" s="56">
        <v>25.5</v>
      </c>
      <c r="L102" s="56">
        <v>23.6</v>
      </c>
      <c r="M102" s="56">
        <v>22.3</v>
      </c>
      <c r="N102" s="56">
        <v>20.9</v>
      </c>
      <c r="O102" s="56">
        <v>19.5</v>
      </c>
      <c r="P102" s="56">
        <v>18</v>
      </c>
      <c r="Q102" s="56">
        <v>16.5</v>
      </c>
      <c r="R102" s="57" t="s">
        <v>267</v>
      </c>
      <c r="S102" s="58">
        <v>1</v>
      </c>
      <c r="T102" s="72"/>
      <c r="U102" s="65">
        <f t="shared" si="20"/>
        <v>20</v>
      </c>
      <c r="V102" s="68">
        <f>-0.0007*Q^2-0.1833*Q+28.404</f>
        <v>24.457999999999998</v>
      </c>
      <c r="W102" s="67" t="str">
        <f t="shared" si="21"/>
        <v/>
      </c>
      <c r="Y102" s="51">
        <v>70</v>
      </c>
      <c r="Z102" s="51" t="s">
        <v>321</v>
      </c>
      <c r="AA102" s="51">
        <v>80</v>
      </c>
      <c r="AB102" s="51" t="s">
        <v>319</v>
      </c>
      <c r="AC102" s="42">
        <v>7.4</v>
      </c>
      <c r="AD102" s="40">
        <v>2900</v>
      </c>
      <c r="AE102" s="51">
        <v>565</v>
      </c>
      <c r="AF102" s="37">
        <v>110</v>
      </c>
      <c r="AG102" s="57" t="s">
        <v>410</v>
      </c>
      <c r="AH102" s="158">
        <f>-0.0439*Q^2+3.672*Q-5.1804</f>
        <v>50.699599999999997</v>
      </c>
      <c r="AI102" s="351">
        <f t="shared" si="19"/>
        <v>4900000</v>
      </c>
    </row>
    <row r="103" spans="1:35">
      <c r="A103" s="51" t="s">
        <v>152</v>
      </c>
      <c r="B103" s="51" t="s">
        <v>153</v>
      </c>
      <c r="C103" s="53" t="s">
        <v>174</v>
      </c>
      <c r="D103" s="59">
        <v>15</v>
      </c>
      <c r="E103" s="59">
        <v>24</v>
      </c>
      <c r="F103" s="59">
        <v>30</v>
      </c>
      <c r="G103" s="59">
        <v>36</v>
      </c>
      <c r="H103" s="59">
        <v>42</v>
      </c>
      <c r="I103" s="59">
        <v>48</v>
      </c>
      <c r="J103" s="59">
        <v>54</v>
      </c>
      <c r="K103" s="56">
        <v>44</v>
      </c>
      <c r="L103" s="56">
        <v>42.5</v>
      </c>
      <c r="M103" s="56">
        <v>41</v>
      </c>
      <c r="N103" s="56">
        <v>40</v>
      </c>
      <c r="O103" s="56">
        <v>38</v>
      </c>
      <c r="P103" s="56">
        <v>37.5</v>
      </c>
      <c r="Q103" s="56">
        <v>35.5</v>
      </c>
      <c r="R103" s="57" t="s">
        <v>268</v>
      </c>
      <c r="S103" s="58">
        <v>0.99070000000000003</v>
      </c>
      <c r="T103" s="72"/>
      <c r="U103" s="65">
        <f t="shared" si="20"/>
        <v>20</v>
      </c>
      <c r="V103" s="68">
        <f>-0.0008*Q^2-0.1596*Q+46.639</f>
        <v>43.127000000000002</v>
      </c>
      <c r="W103" s="67" t="str">
        <f t="shared" si="21"/>
        <v/>
      </c>
      <c r="Y103" s="51">
        <v>50</v>
      </c>
      <c r="Z103" s="51" t="s">
        <v>321</v>
      </c>
      <c r="AA103" s="51">
        <v>80</v>
      </c>
      <c r="AB103" s="51" t="s">
        <v>319</v>
      </c>
      <c r="AC103" s="42">
        <v>18.2</v>
      </c>
      <c r="AD103" s="40">
        <v>2900</v>
      </c>
      <c r="AE103" s="51">
        <v>630</v>
      </c>
      <c r="AF103" s="37">
        <v>110</v>
      </c>
      <c r="AG103" s="57" t="s">
        <v>411</v>
      </c>
      <c r="AH103" s="158">
        <f>-0.0361*Q^2+3.0251*Q+3.5407</f>
        <v>49.602700000000006</v>
      </c>
      <c r="AI103" s="351">
        <f t="shared" si="19"/>
        <v>5000000</v>
      </c>
    </row>
    <row r="104" spans="1:35">
      <c r="A104" s="51" t="s">
        <v>152</v>
      </c>
      <c r="B104" s="51" t="s">
        <v>153</v>
      </c>
      <c r="C104" s="53" t="s">
        <v>175</v>
      </c>
      <c r="D104" s="59">
        <v>15</v>
      </c>
      <c r="E104" s="59">
        <v>24</v>
      </c>
      <c r="F104" s="59">
        <v>30</v>
      </c>
      <c r="G104" s="59">
        <v>36</v>
      </c>
      <c r="H104" s="59">
        <v>42</v>
      </c>
      <c r="I104" s="59"/>
      <c r="J104" s="59"/>
      <c r="K104" s="56">
        <v>4.8</v>
      </c>
      <c r="L104" s="56">
        <v>3.5</v>
      </c>
      <c r="M104" s="56">
        <v>2.7</v>
      </c>
      <c r="N104" s="56">
        <v>1.9</v>
      </c>
      <c r="O104" s="56">
        <v>0.8</v>
      </c>
      <c r="P104" s="56"/>
      <c r="Q104" s="56"/>
      <c r="R104" s="57" t="s">
        <v>269</v>
      </c>
      <c r="S104" s="58">
        <v>0.99809999999999999</v>
      </c>
      <c r="T104" s="72"/>
      <c r="U104" s="65">
        <f t="shared" si="20"/>
        <v>20</v>
      </c>
      <c r="V104" s="68">
        <f>-0.0006*Q^2-0.1091*Q+6.5529</f>
        <v>4.1309000000000005</v>
      </c>
      <c r="W104" s="67" t="str">
        <f t="shared" si="21"/>
        <v/>
      </c>
      <c r="Y104" s="51">
        <v>50</v>
      </c>
      <c r="Z104" s="51" t="s">
        <v>321</v>
      </c>
      <c r="AA104" s="51">
        <v>65</v>
      </c>
      <c r="AB104" s="51" t="s">
        <v>318</v>
      </c>
      <c r="AC104" s="42">
        <v>1</v>
      </c>
      <c r="AD104" s="40">
        <v>2900</v>
      </c>
      <c r="AE104" s="51">
        <v>383</v>
      </c>
      <c r="AF104" s="37">
        <v>110</v>
      </c>
      <c r="AG104" s="57" t="s">
        <v>412</v>
      </c>
      <c r="AH104" s="158">
        <f>-0.0421*Q^2+3.5728*Q-3.9927</f>
        <v>50.6233</v>
      </c>
      <c r="AI104" s="351">
        <f t="shared" si="19"/>
        <v>5100000</v>
      </c>
    </row>
    <row r="105" spans="1:35">
      <c r="A105" s="51" t="s">
        <v>152</v>
      </c>
      <c r="B105" s="51" t="s">
        <v>153</v>
      </c>
      <c r="C105" s="53" t="s">
        <v>176</v>
      </c>
      <c r="D105" s="59">
        <v>15</v>
      </c>
      <c r="E105" s="59">
        <v>24</v>
      </c>
      <c r="F105" s="59">
        <v>30</v>
      </c>
      <c r="G105" s="59">
        <v>36</v>
      </c>
      <c r="H105" s="59">
        <v>42</v>
      </c>
      <c r="I105" s="59">
        <v>48</v>
      </c>
      <c r="J105" s="59"/>
      <c r="K105" s="60">
        <v>6.1</v>
      </c>
      <c r="L105" s="60">
        <v>4.8</v>
      </c>
      <c r="M105" s="60">
        <v>3.8</v>
      </c>
      <c r="N105" s="60">
        <v>2.7</v>
      </c>
      <c r="O105" s="60">
        <v>1.8</v>
      </c>
      <c r="P105" s="60">
        <v>0.5</v>
      </c>
      <c r="Q105" s="60"/>
      <c r="R105" s="57" t="s">
        <v>270</v>
      </c>
      <c r="S105" s="58">
        <v>0.999</v>
      </c>
      <c r="T105" s="72"/>
      <c r="U105" s="65">
        <f t="shared" si="20"/>
        <v>20</v>
      </c>
      <c r="V105" s="68">
        <f>-0.0009*Q^2-0.1138*Q+8.0069</f>
        <v>5.3709000000000007</v>
      </c>
      <c r="W105" s="67" t="str">
        <f t="shared" si="21"/>
        <v/>
      </c>
      <c r="Y105" s="51">
        <v>50</v>
      </c>
      <c r="Z105" s="51" t="s">
        <v>321</v>
      </c>
      <c r="AA105" s="51">
        <v>65</v>
      </c>
      <c r="AB105" s="51" t="s">
        <v>318</v>
      </c>
      <c r="AC105" s="42">
        <v>1</v>
      </c>
      <c r="AD105" s="40">
        <v>2900</v>
      </c>
      <c r="AE105" s="51">
        <v>383</v>
      </c>
      <c r="AF105" s="37">
        <v>110</v>
      </c>
      <c r="AG105" s="57" t="s">
        <v>413</v>
      </c>
      <c r="AH105" s="158">
        <f>-0.0632*Q^2+4.6806*Q-16.886</f>
        <v>51.445999999999998</v>
      </c>
      <c r="AI105" s="351">
        <f t="shared" si="19"/>
        <v>5200000</v>
      </c>
    </row>
    <row r="106" spans="1:35">
      <c r="A106" s="51" t="s">
        <v>152</v>
      </c>
      <c r="B106" s="51" t="s">
        <v>153</v>
      </c>
      <c r="C106" s="53" t="s">
        <v>177</v>
      </c>
      <c r="D106" s="59">
        <v>15</v>
      </c>
      <c r="E106" s="59">
        <v>24</v>
      </c>
      <c r="F106" s="59">
        <v>30</v>
      </c>
      <c r="G106" s="59">
        <v>36</v>
      </c>
      <c r="H106" s="59">
        <v>42</v>
      </c>
      <c r="I106" s="59">
        <v>48</v>
      </c>
      <c r="J106" s="59"/>
      <c r="K106" s="60">
        <v>7.2</v>
      </c>
      <c r="L106" s="60">
        <v>5.8</v>
      </c>
      <c r="M106" s="60">
        <v>4.7</v>
      </c>
      <c r="N106" s="60">
        <v>3.9</v>
      </c>
      <c r="O106" s="60">
        <v>2.5</v>
      </c>
      <c r="P106" s="60">
        <v>1.3</v>
      </c>
      <c r="Q106" s="60"/>
      <c r="R106" s="57" t="s">
        <v>271</v>
      </c>
      <c r="S106" s="58">
        <v>0.998</v>
      </c>
      <c r="T106" s="72"/>
      <c r="U106" s="65">
        <f t="shared" si="20"/>
        <v>20</v>
      </c>
      <c r="V106" s="68">
        <f>-0.0011*Q^2-0.107*Q+9.0353</f>
        <v>6.4552999999999994</v>
      </c>
      <c r="W106" s="67" t="str">
        <f t="shared" si="21"/>
        <v>OK</v>
      </c>
      <c r="Y106" s="51">
        <v>50</v>
      </c>
      <c r="Z106" s="51" t="s">
        <v>321</v>
      </c>
      <c r="AA106" s="51">
        <v>65</v>
      </c>
      <c r="AB106" s="51" t="s">
        <v>318</v>
      </c>
      <c r="AC106" s="42">
        <v>1.2</v>
      </c>
      <c r="AD106" s="40">
        <v>2900</v>
      </c>
      <c r="AE106" s="51">
        <v>383</v>
      </c>
      <c r="AF106" s="37">
        <v>110</v>
      </c>
      <c r="AG106" s="57" t="s">
        <v>414</v>
      </c>
      <c r="AH106" s="158">
        <f>-0.0433*Q^2+3.6355*Q-4.7224</f>
        <v>50.667599999999993</v>
      </c>
      <c r="AI106" s="351">
        <f t="shared" si="19"/>
        <v>5300000</v>
      </c>
    </row>
    <row r="107" spans="1:35">
      <c r="A107" s="51" t="s">
        <v>152</v>
      </c>
      <c r="B107" s="51" t="s">
        <v>153</v>
      </c>
      <c r="C107" s="53" t="s">
        <v>178</v>
      </c>
      <c r="D107" s="59">
        <v>15</v>
      </c>
      <c r="E107" s="59">
        <v>24</v>
      </c>
      <c r="F107" s="59">
        <v>30</v>
      </c>
      <c r="G107" s="59">
        <v>36</v>
      </c>
      <c r="H107" s="59">
        <v>42</v>
      </c>
      <c r="I107" s="59"/>
      <c r="J107" s="59"/>
      <c r="K107" s="56">
        <v>4.8</v>
      </c>
      <c r="L107" s="56">
        <v>3.5</v>
      </c>
      <c r="M107" s="56">
        <v>2.7</v>
      </c>
      <c r="N107" s="56">
        <v>1.9</v>
      </c>
      <c r="O107" s="56">
        <v>0.8</v>
      </c>
      <c r="P107" s="56"/>
      <c r="Q107" s="60"/>
      <c r="R107" s="57" t="s">
        <v>269</v>
      </c>
      <c r="S107" s="58">
        <v>0.99809999999999999</v>
      </c>
      <c r="T107" s="72"/>
      <c r="U107" s="65">
        <f t="shared" si="20"/>
        <v>20</v>
      </c>
      <c r="V107" s="68">
        <f>-0.0006*Q^2-0.1091*Q+6.5529</f>
        <v>4.1309000000000005</v>
      </c>
      <c r="W107" s="67" t="str">
        <f t="shared" si="21"/>
        <v/>
      </c>
      <c r="Y107" s="51">
        <v>50</v>
      </c>
      <c r="Z107" s="51" t="s">
        <v>321</v>
      </c>
      <c r="AA107" s="51">
        <v>65</v>
      </c>
      <c r="AB107" s="51" t="s">
        <v>319</v>
      </c>
      <c r="AC107" s="42">
        <v>1</v>
      </c>
      <c r="AD107" s="40">
        <v>2900</v>
      </c>
      <c r="AE107" s="51">
        <v>383</v>
      </c>
      <c r="AF107" s="37">
        <v>110</v>
      </c>
      <c r="AG107" s="57" t="s">
        <v>415</v>
      </c>
      <c r="AH107" s="158">
        <f>-0.0353*Q^2+2.9931*Q+3.8363</f>
        <v>49.578300000000006</v>
      </c>
      <c r="AI107" s="351">
        <f t="shared" si="19"/>
        <v>5400000</v>
      </c>
    </row>
    <row r="108" spans="1:35">
      <c r="A108" s="51" t="s">
        <v>152</v>
      </c>
      <c r="B108" s="51" t="s">
        <v>153</v>
      </c>
      <c r="C108" s="53" t="s">
        <v>179</v>
      </c>
      <c r="D108" s="59">
        <v>15</v>
      </c>
      <c r="E108" s="59">
        <v>24</v>
      </c>
      <c r="F108" s="59">
        <v>30</v>
      </c>
      <c r="G108" s="59">
        <v>36</v>
      </c>
      <c r="H108" s="59">
        <v>42</v>
      </c>
      <c r="I108" s="59">
        <v>48</v>
      </c>
      <c r="J108" s="59"/>
      <c r="K108" s="60">
        <v>6.1</v>
      </c>
      <c r="L108" s="60">
        <v>4.8</v>
      </c>
      <c r="M108" s="60">
        <v>3.8</v>
      </c>
      <c r="N108" s="60">
        <v>2.7</v>
      </c>
      <c r="O108" s="60">
        <v>1.8</v>
      </c>
      <c r="P108" s="60">
        <v>0.5</v>
      </c>
      <c r="Q108" s="60"/>
      <c r="R108" s="57" t="s">
        <v>270</v>
      </c>
      <c r="S108" s="58">
        <v>0.999</v>
      </c>
      <c r="T108" s="72"/>
      <c r="U108" s="65">
        <f t="shared" si="20"/>
        <v>20</v>
      </c>
      <c r="V108" s="68">
        <f>-0.0009*Q^2-0.1138*Q+8.0069</f>
        <v>5.3709000000000007</v>
      </c>
      <c r="W108" s="67" t="str">
        <f t="shared" si="21"/>
        <v/>
      </c>
      <c r="Y108" s="51">
        <v>50</v>
      </c>
      <c r="Z108" s="51" t="s">
        <v>321</v>
      </c>
      <c r="AA108" s="51">
        <v>65</v>
      </c>
      <c r="AB108" s="51" t="s">
        <v>319</v>
      </c>
      <c r="AC108" s="42">
        <v>1</v>
      </c>
      <c r="AD108" s="40">
        <v>2900</v>
      </c>
      <c r="AE108" s="51">
        <v>383</v>
      </c>
      <c r="AF108" s="37">
        <v>110</v>
      </c>
      <c r="AG108" s="57" t="s">
        <v>414</v>
      </c>
      <c r="AH108" s="158">
        <f>-0.0433*Q^2+3.6355*Q-4.7224</f>
        <v>50.667599999999993</v>
      </c>
      <c r="AI108" s="351">
        <f t="shared" si="19"/>
        <v>5500000</v>
      </c>
    </row>
    <row r="109" spans="1:35">
      <c r="A109" s="51" t="s">
        <v>152</v>
      </c>
      <c r="B109" s="51" t="s">
        <v>153</v>
      </c>
      <c r="C109" s="53" t="s">
        <v>180</v>
      </c>
      <c r="D109" s="59">
        <v>15</v>
      </c>
      <c r="E109" s="59">
        <v>24</v>
      </c>
      <c r="F109" s="59">
        <v>30</v>
      </c>
      <c r="G109" s="59">
        <v>36</v>
      </c>
      <c r="H109" s="59">
        <v>42</v>
      </c>
      <c r="I109" s="59">
        <v>48</v>
      </c>
      <c r="J109" s="59"/>
      <c r="K109" s="60">
        <v>7.2</v>
      </c>
      <c r="L109" s="60">
        <v>5.8</v>
      </c>
      <c r="M109" s="60">
        <v>4.7</v>
      </c>
      <c r="N109" s="60">
        <v>3.9</v>
      </c>
      <c r="O109" s="60">
        <v>2.5</v>
      </c>
      <c r="P109" s="60">
        <v>1.3</v>
      </c>
      <c r="Q109" s="60"/>
      <c r="R109" s="57" t="s">
        <v>271</v>
      </c>
      <c r="S109" s="58">
        <v>0.998</v>
      </c>
      <c r="T109" s="72"/>
      <c r="U109" s="65">
        <f t="shared" si="20"/>
        <v>20</v>
      </c>
      <c r="V109" s="68">
        <f>-0.0011*Q^2-0.107*Q+9.0353</f>
        <v>6.4552999999999994</v>
      </c>
      <c r="W109" s="67" t="str">
        <f t="shared" si="21"/>
        <v>OK</v>
      </c>
      <c r="Y109" s="51">
        <v>50</v>
      </c>
      <c r="Z109" s="51" t="s">
        <v>321</v>
      </c>
      <c r="AA109" s="51">
        <v>65</v>
      </c>
      <c r="AB109" s="51" t="s">
        <v>319</v>
      </c>
      <c r="AC109" s="42">
        <v>1.3</v>
      </c>
      <c r="AD109" s="40">
        <v>2900</v>
      </c>
      <c r="AE109" s="51">
        <v>383</v>
      </c>
      <c r="AF109" s="37">
        <v>110</v>
      </c>
      <c r="AG109" s="57" t="s">
        <v>413</v>
      </c>
      <c r="AH109" s="158">
        <f>-0.0632*Q^2+4.6806*Q-16.886</f>
        <v>51.445999999999998</v>
      </c>
      <c r="AI109" s="351">
        <f t="shared" si="19"/>
        <v>5600000</v>
      </c>
    </row>
    <row r="110" spans="1:35">
      <c r="A110" s="51" t="s">
        <v>152</v>
      </c>
      <c r="B110" s="51" t="s">
        <v>153</v>
      </c>
      <c r="C110" s="53" t="s">
        <v>181</v>
      </c>
      <c r="D110" s="59">
        <v>15</v>
      </c>
      <c r="E110" s="59">
        <v>24</v>
      </c>
      <c r="F110" s="59">
        <v>30</v>
      </c>
      <c r="G110" s="59">
        <v>36</v>
      </c>
      <c r="H110" s="59">
        <v>42</v>
      </c>
      <c r="I110" s="59">
        <v>48</v>
      </c>
      <c r="J110" s="59">
        <v>54</v>
      </c>
      <c r="K110" s="60">
        <v>5.8</v>
      </c>
      <c r="L110" s="60">
        <v>4.8</v>
      </c>
      <c r="M110" s="60">
        <v>4.2</v>
      </c>
      <c r="N110" s="60">
        <v>3.7</v>
      </c>
      <c r="O110" s="60">
        <v>2.9</v>
      </c>
      <c r="P110" s="60">
        <v>2.1</v>
      </c>
      <c r="Q110" s="60">
        <v>1.5</v>
      </c>
      <c r="R110" s="57" t="s">
        <v>272</v>
      </c>
      <c r="S110" s="58">
        <v>0.99770000000000003</v>
      </c>
      <c r="T110" s="72"/>
      <c r="U110" s="65">
        <f t="shared" si="20"/>
        <v>20</v>
      </c>
      <c r="V110" s="68">
        <f>-0.0003*Q^2-0.0879*Q+7.1643</f>
        <v>5.2862999999999998</v>
      </c>
      <c r="W110" s="67" t="str">
        <f t="shared" si="21"/>
        <v/>
      </c>
      <c r="Y110" s="51">
        <v>50</v>
      </c>
      <c r="Z110" s="51" t="s">
        <v>321</v>
      </c>
      <c r="AA110" s="51">
        <v>80</v>
      </c>
      <c r="AB110" s="51" t="s">
        <v>318</v>
      </c>
      <c r="AC110" s="42">
        <v>1</v>
      </c>
      <c r="AD110" s="40">
        <v>2900</v>
      </c>
      <c r="AE110" s="51">
        <v>418</v>
      </c>
      <c r="AF110" s="37">
        <v>110</v>
      </c>
      <c r="AG110" s="57" t="s">
        <v>410</v>
      </c>
      <c r="AH110" s="158">
        <f>-0.0439*Q^2+3.672*Q-5.1804</f>
        <v>50.699599999999997</v>
      </c>
      <c r="AI110" s="351">
        <f t="shared" si="19"/>
        <v>5700000</v>
      </c>
    </row>
    <row r="111" spans="1:35">
      <c r="A111" s="51" t="s">
        <v>152</v>
      </c>
      <c r="B111" s="51" t="s">
        <v>153</v>
      </c>
      <c r="C111" s="53" t="s">
        <v>182</v>
      </c>
      <c r="D111" s="59">
        <v>15</v>
      </c>
      <c r="E111" s="59">
        <v>24</v>
      </c>
      <c r="F111" s="59">
        <v>30</v>
      </c>
      <c r="G111" s="59">
        <v>36</v>
      </c>
      <c r="H111" s="59">
        <v>42</v>
      </c>
      <c r="I111" s="59">
        <v>48</v>
      </c>
      <c r="J111" s="59">
        <v>54</v>
      </c>
      <c r="K111" s="60">
        <v>5.8</v>
      </c>
      <c r="L111" s="60">
        <v>4.8</v>
      </c>
      <c r="M111" s="60">
        <v>4.2</v>
      </c>
      <c r="N111" s="60">
        <v>3.7</v>
      </c>
      <c r="O111" s="60">
        <v>2.9</v>
      </c>
      <c r="P111" s="60">
        <v>2.1</v>
      </c>
      <c r="Q111" s="60">
        <v>1.5</v>
      </c>
      <c r="R111" s="57" t="s">
        <v>272</v>
      </c>
      <c r="S111" s="58">
        <v>0.99770000000000003</v>
      </c>
      <c r="T111" s="72"/>
      <c r="U111" s="65">
        <f t="shared" si="20"/>
        <v>20</v>
      </c>
      <c r="V111" s="68">
        <f>-0.0003*Q^2-0.0879*Q+7.1643</f>
        <v>5.2862999999999998</v>
      </c>
      <c r="W111" s="67" t="str">
        <f t="shared" si="21"/>
        <v/>
      </c>
      <c r="Y111" s="51">
        <v>50</v>
      </c>
      <c r="Z111" s="51" t="s">
        <v>321</v>
      </c>
      <c r="AA111" s="51">
        <v>80</v>
      </c>
      <c r="AB111" s="51" t="s">
        <v>319</v>
      </c>
      <c r="AC111" s="42">
        <v>1.4</v>
      </c>
      <c r="AD111" s="40">
        <v>2900</v>
      </c>
      <c r="AE111" s="51">
        <v>418</v>
      </c>
      <c r="AF111" s="37">
        <v>110</v>
      </c>
      <c r="AG111" s="57" t="s">
        <v>411</v>
      </c>
      <c r="AH111" s="158">
        <f>-0.0361*Q^2+3.0251*Q+3.5407</f>
        <v>49.602700000000006</v>
      </c>
      <c r="AI111" s="351">
        <f t="shared" si="19"/>
        <v>5800000</v>
      </c>
    </row>
    <row r="112" spans="1:35">
      <c r="A112" s="51" t="s">
        <v>152</v>
      </c>
      <c r="B112" s="51" t="s">
        <v>153</v>
      </c>
      <c r="C112" s="53" t="s">
        <v>183</v>
      </c>
      <c r="D112" s="59">
        <v>15</v>
      </c>
      <c r="E112" s="59">
        <v>24</v>
      </c>
      <c r="F112" s="59">
        <v>30</v>
      </c>
      <c r="G112" s="59">
        <v>36</v>
      </c>
      <c r="H112" s="59">
        <v>42</v>
      </c>
      <c r="I112" s="59">
        <v>48</v>
      </c>
      <c r="J112" s="59">
        <v>60</v>
      </c>
      <c r="K112" s="60">
        <v>6.7</v>
      </c>
      <c r="L112" s="60">
        <v>5.9</v>
      </c>
      <c r="M112" s="60">
        <v>5.3</v>
      </c>
      <c r="N112" s="60">
        <v>4.4000000000000004</v>
      </c>
      <c r="O112" s="60">
        <v>3.9</v>
      </c>
      <c r="P112" s="60">
        <v>3.1</v>
      </c>
      <c r="Q112" s="60">
        <v>1.8</v>
      </c>
      <c r="R112" s="57" t="s">
        <v>273</v>
      </c>
      <c r="S112" s="58">
        <v>0.99719999999999998</v>
      </c>
      <c r="T112" s="72"/>
      <c r="U112" s="65">
        <f t="shared" si="20"/>
        <v>20</v>
      </c>
      <c r="V112" s="68">
        <f>-0.0002*Q^2-0.0961*Q+8.2481</f>
        <v>6.2461000000000002</v>
      </c>
      <c r="W112" s="67" t="str">
        <f t="shared" si="21"/>
        <v>OK</v>
      </c>
      <c r="Y112" s="51">
        <v>50</v>
      </c>
      <c r="Z112" s="51" t="s">
        <v>321</v>
      </c>
      <c r="AA112" s="51">
        <v>80</v>
      </c>
      <c r="AB112" s="51" t="s">
        <v>318</v>
      </c>
      <c r="AC112" s="42">
        <v>1.2</v>
      </c>
      <c r="AD112" s="40">
        <v>2900</v>
      </c>
      <c r="AE112" s="51">
        <v>418</v>
      </c>
      <c r="AF112" s="37">
        <v>110</v>
      </c>
      <c r="AG112" s="57" t="s">
        <v>416</v>
      </c>
      <c r="AH112" s="158">
        <f>-0.0354*Q^2+3.1694*Q+1.2717</f>
        <v>50.499699999999997</v>
      </c>
      <c r="AI112" s="351">
        <f t="shared" si="19"/>
        <v>5900000</v>
      </c>
    </row>
    <row r="113" spans="1:35">
      <c r="A113" s="51" t="s">
        <v>152</v>
      </c>
      <c r="B113" s="51" t="s">
        <v>153</v>
      </c>
      <c r="C113" s="53" t="s">
        <v>184</v>
      </c>
      <c r="D113" s="59">
        <v>15</v>
      </c>
      <c r="E113" s="59">
        <v>24</v>
      </c>
      <c r="F113" s="59">
        <v>30</v>
      </c>
      <c r="G113" s="59">
        <v>36</v>
      </c>
      <c r="H113" s="59">
        <v>42</v>
      </c>
      <c r="I113" s="59">
        <v>48</v>
      </c>
      <c r="J113" s="59">
        <v>60</v>
      </c>
      <c r="K113" s="60">
        <v>6.7</v>
      </c>
      <c r="L113" s="60">
        <v>5.9</v>
      </c>
      <c r="M113" s="60">
        <v>5.3</v>
      </c>
      <c r="N113" s="60">
        <v>4.4000000000000004</v>
      </c>
      <c r="O113" s="60">
        <v>3.9</v>
      </c>
      <c r="P113" s="60">
        <v>3.1</v>
      </c>
      <c r="Q113" s="60">
        <v>1.8</v>
      </c>
      <c r="R113" s="57" t="s">
        <v>273</v>
      </c>
      <c r="S113" s="58">
        <v>0.99719999999999998</v>
      </c>
      <c r="T113" s="72"/>
      <c r="U113" s="65">
        <f t="shared" si="20"/>
        <v>20</v>
      </c>
      <c r="V113" s="68">
        <f>-0.0002*Q^2-0.0961*Q+8.2481</f>
        <v>6.2461000000000002</v>
      </c>
      <c r="W113" s="67" t="str">
        <f t="shared" si="21"/>
        <v>OK</v>
      </c>
      <c r="Y113" s="51">
        <v>50</v>
      </c>
      <c r="Z113" s="51" t="s">
        <v>321</v>
      </c>
      <c r="AA113" s="51">
        <v>80</v>
      </c>
      <c r="AB113" s="51" t="s">
        <v>319</v>
      </c>
      <c r="AC113" s="42">
        <v>1.4</v>
      </c>
      <c r="AD113" s="40">
        <v>2900</v>
      </c>
      <c r="AE113" s="51">
        <v>418</v>
      </c>
      <c r="AF113" s="37">
        <v>110</v>
      </c>
      <c r="AG113" s="57" t="s">
        <v>417</v>
      </c>
      <c r="AH113" s="158">
        <f>-0.0432*Q^2+3.4993*Q-1.6942</f>
        <v>51.011799999999987</v>
      </c>
      <c r="AI113" s="351">
        <f t="shared" si="19"/>
        <v>6000000</v>
      </c>
    </row>
  </sheetData>
  <mergeCells count="8">
    <mergeCell ref="Z2:Z3"/>
    <mergeCell ref="AB2:AB3"/>
    <mergeCell ref="A2:A3"/>
    <mergeCell ref="B2:B3"/>
    <mergeCell ref="C2:C3"/>
    <mergeCell ref="D2:S2"/>
    <mergeCell ref="D3:J3"/>
    <mergeCell ref="K3:Q3"/>
  </mergeCells>
  <pageMargins left="0.7" right="0.7" top="0.75" bottom="0.75" header="0.3" footer="0.3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1">
    <tabColor theme="1"/>
  </sheetPr>
  <dimension ref="A1:W53"/>
  <sheetViews>
    <sheetView workbookViewId="0">
      <selection activeCell="A13" sqref="A13"/>
    </sheetView>
  </sheetViews>
  <sheetFormatPr baseColWidth="10" defaultColWidth="10.7109375" defaultRowHeight="15"/>
  <cols>
    <col min="1" max="1" width="24.28515625" style="364" bestFit="1" customWidth="1"/>
    <col min="2" max="2" width="24.42578125" style="364" bestFit="1" customWidth="1"/>
    <col min="3" max="3" width="8.42578125" style="364" bestFit="1" customWidth="1"/>
    <col min="4" max="4" width="10.28515625" style="364" bestFit="1" customWidth="1"/>
    <col min="5" max="7" width="16.42578125" style="364" bestFit="1" customWidth="1"/>
    <col min="8" max="8" width="3.7109375" style="364" customWidth="1"/>
    <col min="9" max="9" width="24.28515625" style="364" bestFit="1" customWidth="1"/>
    <col min="10" max="10" width="9.42578125" style="364" bestFit="1" customWidth="1"/>
    <col min="11" max="15" width="8.42578125" style="364" bestFit="1" customWidth="1"/>
    <col min="16" max="16" width="3.7109375" style="364" customWidth="1"/>
    <col min="17" max="17" width="25.42578125" style="364" bestFit="1" customWidth="1"/>
    <col min="18" max="18" width="12.42578125" style="364" bestFit="1" customWidth="1"/>
    <col min="19" max="19" width="13" style="364" bestFit="1" customWidth="1"/>
    <col min="20" max="16384" width="10.7109375" style="364"/>
  </cols>
  <sheetData>
    <row r="1" spans="1:23" ht="15.75" thickBot="1">
      <c r="A1" s="642" t="s">
        <v>498</v>
      </c>
      <c r="B1" s="643"/>
      <c r="C1" s="643"/>
      <c r="D1" s="643"/>
      <c r="E1" s="643"/>
      <c r="F1" s="643"/>
      <c r="G1" s="644"/>
      <c r="I1" s="639" t="s">
        <v>500</v>
      </c>
      <c r="J1" s="640"/>
      <c r="K1" s="640"/>
      <c r="L1" s="640"/>
      <c r="M1" s="640"/>
      <c r="N1" s="640"/>
      <c r="O1" s="641"/>
      <c r="Q1" s="639" t="s">
        <v>576</v>
      </c>
      <c r="R1" s="640"/>
      <c r="S1" s="641"/>
      <c r="T1" s="371"/>
      <c r="U1" s="371"/>
      <c r="V1" s="371"/>
      <c r="W1" s="371"/>
    </row>
    <row r="2" spans="1:23">
      <c r="A2" s="374" t="s">
        <v>501</v>
      </c>
      <c r="B2" s="375" t="s">
        <v>26</v>
      </c>
      <c r="C2" s="375" t="s">
        <v>296</v>
      </c>
      <c r="D2" s="375" t="s">
        <v>297</v>
      </c>
      <c r="E2" s="375" t="s">
        <v>298</v>
      </c>
      <c r="F2" s="375" t="s">
        <v>27</v>
      </c>
      <c r="G2" s="376" t="s">
        <v>295</v>
      </c>
      <c r="I2" s="380" t="s">
        <v>501</v>
      </c>
      <c r="J2" s="369" t="s">
        <v>26</v>
      </c>
      <c r="K2" s="369" t="s">
        <v>296</v>
      </c>
      <c r="L2" s="369" t="s">
        <v>297</v>
      </c>
      <c r="M2" s="369" t="s">
        <v>298</v>
      </c>
      <c r="N2" s="369" t="s">
        <v>27</v>
      </c>
      <c r="O2" s="381" t="s">
        <v>295</v>
      </c>
      <c r="Q2" s="380" t="s">
        <v>503</v>
      </c>
      <c r="R2" s="368" t="s">
        <v>499</v>
      </c>
      <c r="S2" s="485" t="s">
        <v>500</v>
      </c>
    </row>
    <row r="3" spans="1:23" ht="15.75" thickBot="1">
      <c r="A3" s="377">
        <v>1</v>
      </c>
      <c r="B3" s="378">
        <v>2</v>
      </c>
      <c r="C3" s="378">
        <v>3</v>
      </c>
      <c r="D3" s="378">
        <v>4</v>
      </c>
      <c r="E3" s="378">
        <v>5</v>
      </c>
      <c r="F3" s="378">
        <v>6</v>
      </c>
      <c r="G3" s="379">
        <v>7</v>
      </c>
      <c r="I3" s="383">
        <v>1</v>
      </c>
      <c r="J3" s="384">
        <v>2</v>
      </c>
      <c r="K3" s="384">
        <v>3</v>
      </c>
      <c r="L3" s="384">
        <v>4</v>
      </c>
      <c r="M3" s="384">
        <v>5</v>
      </c>
      <c r="N3" s="384">
        <v>6</v>
      </c>
      <c r="O3" s="385">
        <v>7</v>
      </c>
      <c r="Q3" s="483" t="s">
        <v>552</v>
      </c>
      <c r="R3" s="362">
        <v>1000</v>
      </c>
      <c r="S3" s="366">
        <v>2000</v>
      </c>
    </row>
    <row r="4" spans="1:23">
      <c r="A4" s="357" t="s">
        <v>504</v>
      </c>
      <c r="B4" s="361">
        <v>10000</v>
      </c>
      <c r="C4" s="361">
        <v>2000</v>
      </c>
      <c r="D4" s="361">
        <v>3000</v>
      </c>
      <c r="E4" s="361">
        <v>4000</v>
      </c>
      <c r="F4" s="361">
        <v>5000</v>
      </c>
      <c r="G4" s="365">
        <v>6000</v>
      </c>
      <c r="I4" s="357" t="s">
        <v>504</v>
      </c>
      <c r="J4" s="361">
        <v>10000</v>
      </c>
      <c r="K4" s="361">
        <v>2000</v>
      </c>
      <c r="L4" s="361">
        <v>3000</v>
      </c>
      <c r="M4" s="361">
        <v>4000</v>
      </c>
      <c r="N4" s="361">
        <v>5000</v>
      </c>
      <c r="O4" s="365">
        <v>6000</v>
      </c>
      <c r="Q4" s="483" t="s">
        <v>553</v>
      </c>
      <c r="R4" s="362">
        <f>R3+1</f>
        <v>1001</v>
      </c>
      <c r="S4" s="366">
        <f>S3+1</f>
        <v>2001</v>
      </c>
    </row>
    <row r="5" spans="1:23">
      <c r="A5" s="358" t="s">
        <v>505</v>
      </c>
      <c r="B5" s="362">
        <f t="shared" ref="B5:B51" si="0">B4+1</f>
        <v>10001</v>
      </c>
      <c r="C5" s="362">
        <f t="shared" ref="C5:C51" si="1">C4+1</f>
        <v>2001</v>
      </c>
      <c r="D5" s="362">
        <f t="shared" ref="D5:D51" si="2">D4+1</f>
        <v>3001</v>
      </c>
      <c r="E5" s="362">
        <f t="shared" ref="E5:E51" si="3">E4+1</f>
        <v>4001</v>
      </c>
      <c r="F5" s="362">
        <f t="shared" ref="F5:F51" si="4">F4+1</f>
        <v>5001</v>
      </c>
      <c r="G5" s="366">
        <f>G4+1</f>
        <v>6001</v>
      </c>
      <c r="I5" s="358" t="s">
        <v>505</v>
      </c>
      <c r="J5" s="362">
        <f t="shared" ref="J5:J51" si="5">J4+1</f>
        <v>10001</v>
      </c>
      <c r="K5" s="362">
        <f t="shared" ref="K5:K51" si="6">K4+1</f>
        <v>2001</v>
      </c>
      <c r="L5" s="362">
        <f t="shared" ref="L5:L51" si="7">L4+1</f>
        <v>3001</v>
      </c>
      <c r="M5" s="362">
        <f t="shared" ref="M5:M51" si="8">M4+1</f>
        <v>4001</v>
      </c>
      <c r="N5" s="362">
        <f t="shared" ref="N5:N51" si="9">N4+1</f>
        <v>5001</v>
      </c>
      <c r="O5" s="366">
        <f>O4+1</f>
        <v>6001</v>
      </c>
      <c r="Q5" s="483" t="s">
        <v>554</v>
      </c>
      <c r="R5" s="362">
        <f t="shared" ref="R5:R26" si="10">R4+1</f>
        <v>1002</v>
      </c>
      <c r="S5" s="366">
        <f t="shared" ref="S5:S26" si="11">S4+1</f>
        <v>2002</v>
      </c>
    </row>
    <row r="6" spans="1:23">
      <c r="A6" s="358" t="s">
        <v>506</v>
      </c>
      <c r="B6" s="362">
        <f t="shared" si="0"/>
        <v>10002</v>
      </c>
      <c r="C6" s="362">
        <f t="shared" si="1"/>
        <v>2002</v>
      </c>
      <c r="D6" s="362">
        <f t="shared" si="2"/>
        <v>3002</v>
      </c>
      <c r="E6" s="362">
        <f t="shared" si="3"/>
        <v>4002</v>
      </c>
      <c r="F6" s="362">
        <f t="shared" si="4"/>
        <v>5002</v>
      </c>
      <c r="G6" s="366">
        <f t="shared" ref="G6:G51" si="12">G5+1</f>
        <v>6002</v>
      </c>
      <c r="I6" s="358" t="s">
        <v>506</v>
      </c>
      <c r="J6" s="362">
        <f t="shared" si="5"/>
        <v>10002</v>
      </c>
      <c r="K6" s="362">
        <f t="shared" si="6"/>
        <v>2002</v>
      </c>
      <c r="L6" s="362">
        <f t="shared" si="7"/>
        <v>3002</v>
      </c>
      <c r="M6" s="362">
        <f t="shared" si="8"/>
        <v>4002</v>
      </c>
      <c r="N6" s="362">
        <f t="shared" si="9"/>
        <v>5002</v>
      </c>
      <c r="O6" s="366">
        <f t="shared" ref="O6:O51" si="13">O5+1</f>
        <v>6002</v>
      </c>
      <c r="Q6" s="483" t="s">
        <v>555</v>
      </c>
      <c r="R6" s="362">
        <f t="shared" si="10"/>
        <v>1003</v>
      </c>
      <c r="S6" s="366">
        <f t="shared" si="11"/>
        <v>2003</v>
      </c>
    </row>
    <row r="7" spans="1:23">
      <c r="A7" s="358" t="s">
        <v>507</v>
      </c>
      <c r="B7" s="362">
        <f t="shared" si="0"/>
        <v>10003</v>
      </c>
      <c r="C7" s="362">
        <f t="shared" si="1"/>
        <v>2003</v>
      </c>
      <c r="D7" s="362">
        <f t="shared" si="2"/>
        <v>3003</v>
      </c>
      <c r="E7" s="362">
        <f t="shared" si="3"/>
        <v>4003</v>
      </c>
      <c r="F7" s="362">
        <f t="shared" si="4"/>
        <v>5003</v>
      </c>
      <c r="G7" s="366">
        <f t="shared" si="12"/>
        <v>6003</v>
      </c>
      <c r="I7" s="358" t="s">
        <v>507</v>
      </c>
      <c r="J7" s="362">
        <f t="shared" si="5"/>
        <v>10003</v>
      </c>
      <c r="K7" s="362">
        <f t="shared" si="6"/>
        <v>2003</v>
      </c>
      <c r="L7" s="362">
        <f t="shared" si="7"/>
        <v>3003</v>
      </c>
      <c r="M7" s="362">
        <f t="shared" si="8"/>
        <v>4003</v>
      </c>
      <c r="N7" s="362">
        <f t="shared" si="9"/>
        <v>5003</v>
      </c>
      <c r="O7" s="366">
        <f t="shared" si="13"/>
        <v>6003</v>
      </c>
      <c r="Q7" s="483" t="s">
        <v>556</v>
      </c>
      <c r="R7" s="362">
        <f t="shared" si="10"/>
        <v>1004</v>
      </c>
      <c r="S7" s="366">
        <f t="shared" si="11"/>
        <v>2004</v>
      </c>
    </row>
    <row r="8" spans="1:23">
      <c r="A8" s="358" t="s">
        <v>508</v>
      </c>
      <c r="B8" s="362">
        <f t="shared" si="0"/>
        <v>10004</v>
      </c>
      <c r="C8" s="362">
        <f t="shared" si="1"/>
        <v>2004</v>
      </c>
      <c r="D8" s="362">
        <f t="shared" si="2"/>
        <v>3004</v>
      </c>
      <c r="E8" s="362">
        <f t="shared" si="3"/>
        <v>4004</v>
      </c>
      <c r="F8" s="362">
        <f t="shared" si="4"/>
        <v>5004</v>
      </c>
      <c r="G8" s="366">
        <f t="shared" si="12"/>
        <v>6004</v>
      </c>
      <c r="I8" s="358" t="s">
        <v>508</v>
      </c>
      <c r="J8" s="362">
        <f t="shared" si="5"/>
        <v>10004</v>
      </c>
      <c r="K8" s="362">
        <f t="shared" si="6"/>
        <v>2004</v>
      </c>
      <c r="L8" s="362">
        <f t="shared" si="7"/>
        <v>3004</v>
      </c>
      <c r="M8" s="362">
        <f t="shared" si="8"/>
        <v>4004</v>
      </c>
      <c r="N8" s="362">
        <f t="shared" si="9"/>
        <v>5004</v>
      </c>
      <c r="O8" s="366">
        <f t="shared" si="13"/>
        <v>6004</v>
      </c>
      <c r="Q8" s="483" t="s">
        <v>557</v>
      </c>
      <c r="R8" s="362">
        <f t="shared" si="10"/>
        <v>1005</v>
      </c>
      <c r="S8" s="366">
        <f t="shared" si="11"/>
        <v>2005</v>
      </c>
    </row>
    <row r="9" spans="1:23" ht="15.75" thickBot="1">
      <c r="A9" s="359" t="s">
        <v>509</v>
      </c>
      <c r="B9" s="363">
        <f t="shared" si="0"/>
        <v>10005</v>
      </c>
      <c r="C9" s="363">
        <f t="shared" si="1"/>
        <v>2005</v>
      </c>
      <c r="D9" s="363">
        <f t="shared" si="2"/>
        <v>3005</v>
      </c>
      <c r="E9" s="363">
        <f t="shared" si="3"/>
        <v>4005</v>
      </c>
      <c r="F9" s="363">
        <f t="shared" si="4"/>
        <v>5005</v>
      </c>
      <c r="G9" s="367">
        <f t="shared" si="12"/>
        <v>6005</v>
      </c>
      <c r="I9" s="359" t="s">
        <v>509</v>
      </c>
      <c r="J9" s="363">
        <f t="shared" si="5"/>
        <v>10005</v>
      </c>
      <c r="K9" s="363">
        <f t="shared" si="6"/>
        <v>2005</v>
      </c>
      <c r="L9" s="363">
        <f t="shared" si="7"/>
        <v>3005</v>
      </c>
      <c r="M9" s="363">
        <f t="shared" si="8"/>
        <v>4005</v>
      </c>
      <c r="N9" s="363">
        <f t="shared" si="9"/>
        <v>5005</v>
      </c>
      <c r="O9" s="367">
        <f t="shared" si="13"/>
        <v>6005</v>
      </c>
      <c r="Q9" s="483" t="s">
        <v>558</v>
      </c>
      <c r="R9" s="362">
        <f t="shared" si="10"/>
        <v>1006</v>
      </c>
      <c r="S9" s="366">
        <f t="shared" si="11"/>
        <v>2006</v>
      </c>
    </row>
    <row r="10" spans="1:23">
      <c r="A10" s="360" t="s">
        <v>510</v>
      </c>
      <c r="B10" s="361">
        <f t="shared" si="0"/>
        <v>10006</v>
      </c>
      <c r="C10" s="361">
        <f t="shared" si="1"/>
        <v>2006</v>
      </c>
      <c r="D10" s="361">
        <f t="shared" si="2"/>
        <v>3006</v>
      </c>
      <c r="E10" s="361">
        <f t="shared" si="3"/>
        <v>4006</v>
      </c>
      <c r="F10" s="361">
        <f t="shared" si="4"/>
        <v>5006</v>
      </c>
      <c r="G10" s="365">
        <f t="shared" si="12"/>
        <v>6006</v>
      </c>
      <c r="I10" s="353" t="s">
        <v>510</v>
      </c>
      <c r="J10" s="373">
        <f t="shared" si="5"/>
        <v>10006</v>
      </c>
      <c r="K10" s="373">
        <f t="shared" si="6"/>
        <v>2006</v>
      </c>
      <c r="L10" s="373">
        <f t="shared" si="7"/>
        <v>3006</v>
      </c>
      <c r="M10" s="373">
        <f t="shared" si="8"/>
        <v>4006</v>
      </c>
      <c r="N10" s="373">
        <f t="shared" si="9"/>
        <v>5006</v>
      </c>
      <c r="O10" s="382">
        <f t="shared" si="13"/>
        <v>6006</v>
      </c>
      <c r="Q10" s="483" t="s">
        <v>559</v>
      </c>
      <c r="R10" s="362">
        <f t="shared" si="10"/>
        <v>1007</v>
      </c>
      <c r="S10" s="366">
        <f t="shared" si="11"/>
        <v>2007</v>
      </c>
    </row>
    <row r="11" spans="1:23">
      <c r="A11" s="354" t="s">
        <v>511</v>
      </c>
      <c r="B11" s="362">
        <f t="shared" si="0"/>
        <v>10007</v>
      </c>
      <c r="C11" s="362">
        <f t="shared" si="1"/>
        <v>2007</v>
      </c>
      <c r="D11" s="362">
        <f t="shared" si="2"/>
        <v>3007</v>
      </c>
      <c r="E11" s="362">
        <f t="shared" si="3"/>
        <v>4007</v>
      </c>
      <c r="F11" s="362">
        <f t="shared" si="4"/>
        <v>5007</v>
      </c>
      <c r="G11" s="366">
        <f t="shared" si="12"/>
        <v>6007</v>
      </c>
      <c r="I11" s="354" t="s">
        <v>511</v>
      </c>
      <c r="J11" s="362">
        <f t="shared" si="5"/>
        <v>10007</v>
      </c>
      <c r="K11" s="362">
        <f t="shared" si="6"/>
        <v>2007</v>
      </c>
      <c r="L11" s="362">
        <f t="shared" si="7"/>
        <v>3007</v>
      </c>
      <c r="M11" s="362">
        <f t="shared" si="8"/>
        <v>4007</v>
      </c>
      <c r="N11" s="362">
        <f t="shared" si="9"/>
        <v>5007</v>
      </c>
      <c r="O11" s="366">
        <f t="shared" si="13"/>
        <v>6007</v>
      </c>
      <c r="Q11" s="483" t="s">
        <v>560</v>
      </c>
      <c r="R11" s="362">
        <f t="shared" si="10"/>
        <v>1008</v>
      </c>
      <c r="S11" s="366">
        <f t="shared" si="11"/>
        <v>2008</v>
      </c>
    </row>
    <row r="12" spans="1:23">
      <c r="A12" s="354" t="s">
        <v>512</v>
      </c>
      <c r="B12" s="362">
        <f t="shared" si="0"/>
        <v>10008</v>
      </c>
      <c r="C12" s="362">
        <f t="shared" si="1"/>
        <v>2008</v>
      </c>
      <c r="D12" s="362">
        <f t="shared" si="2"/>
        <v>3008</v>
      </c>
      <c r="E12" s="362">
        <f t="shared" si="3"/>
        <v>4008</v>
      </c>
      <c r="F12" s="362">
        <f t="shared" si="4"/>
        <v>5008</v>
      </c>
      <c r="G12" s="366">
        <f t="shared" si="12"/>
        <v>6008</v>
      </c>
      <c r="I12" s="354" t="s">
        <v>512</v>
      </c>
      <c r="J12" s="362">
        <f t="shared" si="5"/>
        <v>10008</v>
      </c>
      <c r="K12" s="362">
        <f t="shared" si="6"/>
        <v>2008</v>
      </c>
      <c r="L12" s="362">
        <f t="shared" si="7"/>
        <v>3008</v>
      </c>
      <c r="M12" s="362">
        <f t="shared" si="8"/>
        <v>4008</v>
      </c>
      <c r="N12" s="362">
        <f t="shared" si="9"/>
        <v>5008</v>
      </c>
      <c r="O12" s="366">
        <f t="shared" si="13"/>
        <v>6008</v>
      </c>
      <c r="Q12" s="483" t="s">
        <v>561</v>
      </c>
      <c r="R12" s="362">
        <f t="shared" si="10"/>
        <v>1009</v>
      </c>
      <c r="S12" s="366">
        <f t="shared" si="11"/>
        <v>2009</v>
      </c>
    </row>
    <row r="13" spans="1:23">
      <c r="A13" s="354" t="s">
        <v>513</v>
      </c>
      <c r="B13" s="362">
        <f t="shared" si="0"/>
        <v>10009</v>
      </c>
      <c r="C13" s="362">
        <f t="shared" si="1"/>
        <v>2009</v>
      </c>
      <c r="D13" s="362">
        <f t="shared" si="2"/>
        <v>3009</v>
      </c>
      <c r="E13" s="362">
        <f t="shared" si="3"/>
        <v>4009</v>
      </c>
      <c r="F13" s="362">
        <f t="shared" si="4"/>
        <v>5009</v>
      </c>
      <c r="G13" s="366">
        <f t="shared" si="12"/>
        <v>6009</v>
      </c>
      <c r="I13" s="354" t="s">
        <v>513</v>
      </c>
      <c r="J13" s="362">
        <f t="shared" si="5"/>
        <v>10009</v>
      </c>
      <c r="K13" s="362">
        <f t="shared" si="6"/>
        <v>2009</v>
      </c>
      <c r="L13" s="362">
        <f t="shared" si="7"/>
        <v>3009</v>
      </c>
      <c r="M13" s="362">
        <f t="shared" si="8"/>
        <v>4009</v>
      </c>
      <c r="N13" s="362">
        <f t="shared" si="9"/>
        <v>5009</v>
      </c>
      <c r="O13" s="366">
        <f t="shared" si="13"/>
        <v>6009</v>
      </c>
      <c r="Q13" s="483" t="s">
        <v>562</v>
      </c>
      <c r="R13" s="362">
        <f t="shared" si="10"/>
        <v>1010</v>
      </c>
      <c r="S13" s="366">
        <f t="shared" si="11"/>
        <v>2010</v>
      </c>
    </row>
    <row r="14" spans="1:23">
      <c r="A14" s="354" t="s">
        <v>514</v>
      </c>
      <c r="B14" s="362">
        <f t="shared" si="0"/>
        <v>10010</v>
      </c>
      <c r="C14" s="362">
        <f t="shared" si="1"/>
        <v>2010</v>
      </c>
      <c r="D14" s="362">
        <f t="shared" si="2"/>
        <v>3010</v>
      </c>
      <c r="E14" s="362">
        <f t="shared" si="3"/>
        <v>4010</v>
      </c>
      <c r="F14" s="362">
        <f t="shared" si="4"/>
        <v>5010</v>
      </c>
      <c r="G14" s="366">
        <f t="shared" si="12"/>
        <v>6010</v>
      </c>
      <c r="I14" s="354" t="s">
        <v>514</v>
      </c>
      <c r="J14" s="362">
        <f t="shared" si="5"/>
        <v>10010</v>
      </c>
      <c r="K14" s="362">
        <f t="shared" si="6"/>
        <v>2010</v>
      </c>
      <c r="L14" s="362">
        <f t="shared" si="7"/>
        <v>3010</v>
      </c>
      <c r="M14" s="362">
        <f t="shared" si="8"/>
        <v>4010</v>
      </c>
      <c r="N14" s="362">
        <f t="shared" si="9"/>
        <v>5010</v>
      </c>
      <c r="O14" s="366">
        <f t="shared" si="13"/>
        <v>6010</v>
      </c>
      <c r="Q14" s="483" t="s">
        <v>563</v>
      </c>
      <c r="R14" s="362">
        <f t="shared" si="10"/>
        <v>1011</v>
      </c>
      <c r="S14" s="366">
        <f t="shared" si="11"/>
        <v>2011</v>
      </c>
    </row>
    <row r="15" spans="1:23" ht="15.75" thickBot="1">
      <c r="A15" s="355" t="s">
        <v>515</v>
      </c>
      <c r="B15" s="363">
        <f t="shared" si="0"/>
        <v>10011</v>
      </c>
      <c r="C15" s="363">
        <f t="shared" si="1"/>
        <v>2011</v>
      </c>
      <c r="D15" s="363">
        <f t="shared" si="2"/>
        <v>3011</v>
      </c>
      <c r="E15" s="363">
        <f t="shared" si="3"/>
        <v>4011</v>
      </c>
      <c r="F15" s="363">
        <f t="shared" si="4"/>
        <v>5011</v>
      </c>
      <c r="G15" s="367">
        <f t="shared" si="12"/>
        <v>6011</v>
      </c>
      <c r="I15" s="386" t="s">
        <v>515</v>
      </c>
      <c r="J15" s="387">
        <f t="shared" si="5"/>
        <v>10011</v>
      </c>
      <c r="K15" s="387">
        <f t="shared" si="6"/>
        <v>2011</v>
      </c>
      <c r="L15" s="387">
        <f t="shared" si="7"/>
        <v>3011</v>
      </c>
      <c r="M15" s="387">
        <f t="shared" si="8"/>
        <v>4011</v>
      </c>
      <c r="N15" s="387">
        <f t="shared" si="9"/>
        <v>5011</v>
      </c>
      <c r="O15" s="388">
        <f t="shared" si="13"/>
        <v>6011</v>
      </c>
      <c r="Q15" s="483" t="s">
        <v>564</v>
      </c>
      <c r="R15" s="362">
        <f t="shared" si="10"/>
        <v>1012</v>
      </c>
      <c r="S15" s="366">
        <f t="shared" si="11"/>
        <v>2012</v>
      </c>
    </row>
    <row r="16" spans="1:23">
      <c r="A16" s="360" t="s">
        <v>516</v>
      </c>
      <c r="B16" s="361">
        <f t="shared" si="0"/>
        <v>10012</v>
      </c>
      <c r="C16" s="361">
        <f t="shared" si="1"/>
        <v>2012</v>
      </c>
      <c r="D16" s="361">
        <f t="shared" si="2"/>
        <v>3012</v>
      </c>
      <c r="E16" s="361">
        <f t="shared" si="3"/>
        <v>4012</v>
      </c>
      <c r="F16" s="361">
        <f t="shared" si="4"/>
        <v>5012</v>
      </c>
      <c r="G16" s="365">
        <f t="shared" si="12"/>
        <v>6012</v>
      </c>
      <c r="I16" s="360" t="s">
        <v>516</v>
      </c>
      <c r="J16" s="361">
        <f t="shared" si="5"/>
        <v>10012</v>
      </c>
      <c r="K16" s="361">
        <f t="shared" si="6"/>
        <v>2012</v>
      </c>
      <c r="L16" s="361">
        <f t="shared" si="7"/>
        <v>3012</v>
      </c>
      <c r="M16" s="361">
        <f t="shared" si="8"/>
        <v>4012</v>
      </c>
      <c r="N16" s="361">
        <f t="shared" si="9"/>
        <v>5012</v>
      </c>
      <c r="O16" s="365">
        <f t="shared" si="13"/>
        <v>6012</v>
      </c>
      <c r="Q16" s="483" t="s">
        <v>565</v>
      </c>
      <c r="R16" s="362">
        <f t="shared" si="10"/>
        <v>1013</v>
      </c>
      <c r="S16" s="366">
        <f t="shared" si="11"/>
        <v>2013</v>
      </c>
    </row>
    <row r="17" spans="1:19">
      <c r="A17" s="354" t="s">
        <v>517</v>
      </c>
      <c r="B17" s="362">
        <f t="shared" si="0"/>
        <v>10013</v>
      </c>
      <c r="C17" s="362">
        <f t="shared" si="1"/>
        <v>2013</v>
      </c>
      <c r="D17" s="362">
        <f t="shared" si="2"/>
        <v>3013</v>
      </c>
      <c r="E17" s="362">
        <f t="shared" si="3"/>
        <v>4013</v>
      </c>
      <c r="F17" s="362">
        <f t="shared" si="4"/>
        <v>5013</v>
      </c>
      <c r="G17" s="366">
        <f t="shared" si="12"/>
        <v>6013</v>
      </c>
      <c r="I17" s="354" t="s">
        <v>517</v>
      </c>
      <c r="J17" s="362">
        <f t="shared" si="5"/>
        <v>10013</v>
      </c>
      <c r="K17" s="362">
        <f t="shared" si="6"/>
        <v>2013</v>
      </c>
      <c r="L17" s="362">
        <f t="shared" si="7"/>
        <v>3013</v>
      </c>
      <c r="M17" s="362">
        <f t="shared" si="8"/>
        <v>4013</v>
      </c>
      <c r="N17" s="362">
        <f t="shared" si="9"/>
        <v>5013</v>
      </c>
      <c r="O17" s="366">
        <f t="shared" si="13"/>
        <v>6013</v>
      </c>
      <c r="Q17" s="483" t="s">
        <v>566</v>
      </c>
      <c r="R17" s="362">
        <f t="shared" si="10"/>
        <v>1014</v>
      </c>
      <c r="S17" s="366">
        <f t="shared" si="11"/>
        <v>2014</v>
      </c>
    </row>
    <row r="18" spans="1:19">
      <c r="A18" s="354" t="s">
        <v>518</v>
      </c>
      <c r="B18" s="362">
        <f t="shared" si="0"/>
        <v>10014</v>
      </c>
      <c r="C18" s="362">
        <f t="shared" si="1"/>
        <v>2014</v>
      </c>
      <c r="D18" s="362">
        <f t="shared" si="2"/>
        <v>3014</v>
      </c>
      <c r="E18" s="362">
        <f t="shared" si="3"/>
        <v>4014</v>
      </c>
      <c r="F18" s="362">
        <f t="shared" si="4"/>
        <v>5014</v>
      </c>
      <c r="G18" s="366">
        <f t="shared" si="12"/>
        <v>6014</v>
      </c>
      <c r="I18" s="354" t="s">
        <v>518</v>
      </c>
      <c r="J18" s="362">
        <f t="shared" si="5"/>
        <v>10014</v>
      </c>
      <c r="K18" s="362">
        <f t="shared" si="6"/>
        <v>2014</v>
      </c>
      <c r="L18" s="362">
        <f t="shared" si="7"/>
        <v>3014</v>
      </c>
      <c r="M18" s="362">
        <f t="shared" si="8"/>
        <v>4014</v>
      </c>
      <c r="N18" s="362">
        <f t="shared" si="9"/>
        <v>5014</v>
      </c>
      <c r="O18" s="366">
        <f t="shared" si="13"/>
        <v>6014</v>
      </c>
      <c r="Q18" s="483" t="s">
        <v>567</v>
      </c>
      <c r="R18" s="362">
        <f t="shared" si="10"/>
        <v>1015</v>
      </c>
      <c r="S18" s="366">
        <f t="shared" si="11"/>
        <v>2015</v>
      </c>
    </row>
    <row r="19" spans="1:19">
      <c r="A19" s="354" t="s">
        <v>519</v>
      </c>
      <c r="B19" s="362">
        <f t="shared" si="0"/>
        <v>10015</v>
      </c>
      <c r="C19" s="362">
        <f t="shared" si="1"/>
        <v>2015</v>
      </c>
      <c r="D19" s="362">
        <f t="shared" si="2"/>
        <v>3015</v>
      </c>
      <c r="E19" s="362">
        <f t="shared" si="3"/>
        <v>4015</v>
      </c>
      <c r="F19" s="362">
        <f t="shared" si="4"/>
        <v>5015</v>
      </c>
      <c r="G19" s="366">
        <f t="shared" si="12"/>
        <v>6015</v>
      </c>
      <c r="I19" s="354" t="s">
        <v>519</v>
      </c>
      <c r="J19" s="362">
        <f t="shared" si="5"/>
        <v>10015</v>
      </c>
      <c r="K19" s="362">
        <f t="shared" si="6"/>
        <v>2015</v>
      </c>
      <c r="L19" s="362">
        <f t="shared" si="7"/>
        <v>3015</v>
      </c>
      <c r="M19" s="362">
        <f t="shared" si="8"/>
        <v>4015</v>
      </c>
      <c r="N19" s="362">
        <f t="shared" si="9"/>
        <v>5015</v>
      </c>
      <c r="O19" s="366">
        <f t="shared" si="13"/>
        <v>6015</v>
      </c>
      <c r="Q19" s="483" t="s">
        <v>568</v>
      </c>
      <c r="R19" s="362">
        <f t="shared" si="10"/>
        <v>1016</v>
      </c>
      <c r="S19" s="366">
        <f t="shared" si="11"/>
        <v>2016</v>
      </c>
    </row>
    <row r="20" spans="1:19">
      <c r="A20" s="354" t="s">
        <v>520</v>
      </c>
      <c r="B20" s="362">
        <f t="shared" si="0"/>
        <v>10016</v>
      </c>
      <c r="C20" s="362">
        <f t="shared" si="1"/>
        <v>2016</v>
      </c>
      <c r="D20" s="362">
        <f t="shared" si="2"/>
        <v>3016</v>
      </c>
      <c r="E20" s="362">
        <f t="shared" si="3"/>
        <v>4016</v>
      </c>
      <c r="F20" s="362">
        <f t="shared" si="4"/>
        <v>5016</v>
      </c>
      <c r="G20" s="366">
        <f t="shared" si="12"/>
        <v>6016</v>
      </c>
      <c r="I20" s="354" t="s">
        <v>520</v>
      </c>
      <c r="J20" s="362">
        <f t="shared" si="5"/>
        <v>10016</v>
      </c>
      <c r="K20" s="362">
        <f t="shared" si="6"/>
        <v>2016</v>
      </c>
      <c r="L20" s="362">
        <f t="shared" si="7"/>
        <v>3016</v>
      </c>
      <c r="M20" s="362">
        <f t="shared" si="8"/>
        <v>4016</v>
      </c>
      <c r="N20" s="362">
        <f t="shared" si="9"/>
        <v>5016</v>
      </c>
      <c r="O20" s="366">
        <f t="shared" si="13"/>
        <v>6016</v>
      </c>
      <c r="Q20" s="483" t="s">
        <v>569</v>
      </c>
      <c r="R20" s="362">
        <f t="shared" si="10"/>
        <v>1017</v>
      </c>
      <c r="S20" s="366">
        <f t="shared" si="11"/>
        <v>2017</v>
      </c>
    </row>
    <row r="21" spans="1:19" ht="15.75" thickBot="1">
      <c r="A21" s="355" t="s">
        <v>521</v>
      </c>
      <c r="B21" s="363">
        <f t="shared" si="0"/>
        <v>10017</v>
      </c>
      <c r="C21" s="363">
        <f t="shared" si="1"/>
        <v>2017</v>
      </c>
      <c r="D21" s="363">
        <f t="shared" si="2"/>
        <v>3017</v>
      </c>
      <c r="E21" s="363">
        <f t="shared" si="3"/>
        <v>4017</v>
      </c>
      <c r="F21" s="363">
        <f t="shared" si="4"/>
        <v>5017</v>
      </c>
      <c r="G21" s="367">
        <f t="shared" si="12"/>
        <v>6017</v>
      </c>
      <c r="I21" s="355" t="s">
        <v>521</v>
      </c>
      <c r="J21" s="363">
        <f t="shared" si="5"/>
        <v>10017</v>
      </c>
      <c r="K21" s="363">
        <f t="shared" si="6"/>
        <v>2017</v>
      </c>
      <c r="L21" s="363">
        <f t="shared" si="7"/>
        <v>3017</v>
      </c>
      <c r="M21" s="363">
        <f t="shared" si="8"/>
        <v>4017</v>
      </c>
      <c r="N21" s="363">
        <f t="shared" si="9"/>
        <v>5017</v>
      </c>
      <c r="O21" s="367">
        <f t="shared" si="13"/>
        <v>6017</v>
      </c>
      <c r="Q21" s="483" t="s">
        <v>570</v>
      </c>
      <c r="R21" s="362">
        <f t="shared" si="10"/>
        <v>1018</v>
      </c>
      <c r="S21" s="366">
        <f t="shared" si="11"/>
        <v>2018</v>
      </c>
    </row>
    <row r="22" spans="1:19">
      <c r="A22" s="360" t="s">
        <v>522</v>
      </c>
      <c r="B22" s="361">
        <f t="shared" si="0"/>
        <v>10018</v>
      </c>
      <c r="C22" s="361">
        <f t="shared" si="1"/>
        <v>2018</v>
      </c>
      <c r="D22" s="361">
        <f t="shared" si="2"/>
        <v>3018</v>
      </c>
      <c r="E22" s="361">
        <f t="shared" si="3"/>
        <v>4018</v>
      </c>
      <c r="F22" s="361">
        <f t="shared" si="4"/>
        <v>5018</v>
      </c>
      <c r="G22" s="365">
        <f t="shared" si="12"/>
        <v>6018</v>
      </c>
      <c r="I22" s="353" t="s">
        <v>522</v>
      </c>
      <c r="J22" s="373">
        <f t="shared" si="5"/>
        <v>10018</v>
      </c>
      <c r="K22" s="373">
        <f t="shared" si="6"/>
        <v>2018</v>
      </c>
      <c r="L22" s="373">
        <f t="shared" si="7"/>
        <v>3018</v>
      </c>
      <c r="M22" s="373">
        <f t="shared" si="8"/>
        <v>4018</v>
      </c>
      <c r="N22" s="373">
        <f t="shared" si="9"/>
        <v>5018</v>
      </c>
      <c r="O22" s="382">
        <f t="shared" si="13"/>
        <v>6018</v>
      </c>
      <c r="Q22" s="483" t="s">
        <v>571</v>
      </c>
      <c r="R22" s="362">
        <f t="shared" si="10"/>
        <v>1019</v>
      </c>
      <c r="S22" s="366">
        <f t="shared" si="11"/>
        <v>2019</v>
      </c>
    </row>
    <row r="23" spans="1:19">
      <c r="A23" s="354" t="s">
        <v>523</v>
      </c>
      <c r="B23" s="362">
        <f t="shared" si="0"/>
        <v>10019</v>
      </c>
      <c r="C23" s="362">
        <f t="shared" si="1"/>
        <v>2019</v>
      </c>
      <c r="D23" s="362">
        <f t="shared" si="2"/>
        <v>3019</v>
      </c>
      <c r="E23" s="362">
        <f t="shared" si="3"/>
        <v>4019</v>
      </c>
      <c r="F23" s="362">
        <f t="shared" si="4"/>
        <v>5019</v>
      </c>
      <c r="G23" s="366">
        <f t="shared" si="12"/>
        <v>6019</v>
      </c>
      <c r="I23" s="354" t="s">
        <v>523</v>
      </c>
      <c r="J23" s="362">
        <f t="shared" si="5"/>
        <v>10019</v>
      </c>
      <c r="K23" s="362">
        <f t="shared" si="6"/>
        <v>2019</v>
      </c>
      <c r="L23" s="362">
        <f t="shared" si="7"/>
        <v>3019</v>
      </c>
      <c r="M23" s="362">
        <f t="shared" si="8"/>
        <v>4019</v>
      </c>
      <c r="N23" s="362">
        <f t="shared" si="9"/>
        <v>5019</v>
      </c>
      <c r="O23" s="366">
        <f t="shared" si="13"/>
        <v>6019</v>
      </c>
      <c r="Q23" s="483" t="s">
        <v>572</v>
      </c>
      <c r="R23" s="362">
        <f t="shared" si="10"/>
        <v>1020</v>
      </c>
      <c r="S23" s="366">
        <f t="shared" si="11"/>
        <v>2020</v>
      </c>
    </row>
    <row r="24" spans="1:19">
      <c r="A24" s="354" t="s">
        <v>524</v>
      </c>
      <c r="B24" s="362">
        <f t="shared" si="0"/>
        <v>10020</v>
      </c>
      <c r="C24" s="362">
        <f t="shared" si="1"/>
        <v>2020</v>
      </c>
      <c r="D24" s="362">
        <f t="shared" si="2"/>
        <v>3020</v>
      </c>
      <c r="E24" s="362">
        <f t="shared" si="3"/>
        <v>4020</v>
      </c>
      <c r="F24" s="362">
        <f t="shared" si="4"/>
        <v>5020</v>
      </c>
      <c r="G24" s="366">
        <f t="shared" si="12"/>
        <v>6020</v>
      </c>
      <c r="I24" s="354" t="s">
        <v>524</v>
      </c>
      <c r="J24" s="362">
        <f t="shared" si="5"/>
        <v>10020</v>
      </c>
      <c r="K24" s="362">
        <f t="shared" si="6"/>
        <v>2020</v>
      </c>
      <c r="L24" s="362">
        <f t="shared" si="7"/>
        <v>3020</v>
      </c>
      <c r="M24" s="362">
        <f t="shared" si="8"/>
        <v>4020</v>
      </c>
      <c r="N24" s="362">
        <f t="shared" si="9"/>
        <v>5020</v>
      </c>
      <c r="O24" s="366">
        <f t="shared" si="13"/>
        <v>6020</v>
      </c>
      <c r="Q24" s="483" t="s">
        <v>573</v>
      </c>
      <c r="R24" s="362">
        <f t="shared" si="10"/>
        <v>1021</v>
      </c>
      <c r="S24" s="366">
        <f t="shared" si="11"/>
        <v>2021</v>
      </c>
    </row>
    <row r="25" spans="1:19">
      <c r="A25" s="354" t="s">
        <v>525</v>
      </c>
      <c r="B25" s="362">
        <f t="shared" si="0"/>
        <v>10021</v>
      </c>
      <c r="C25" s="362">
        <f t="shared" si="1"/>
        <v>2021</v>
      </c>
      <c r="D25" s="362">
        <f t="shared" si="2"/>
        <v>3021</v>
      </c>
      <c r="E25" s="362">
        <f t="shared" si="3"/>
        <v>4021</v>
      </c>
      <c r="F25" s="362">
        <f t="shared" si="4"/>
        <v>5021</v>
      </c>
      <c r="G25" s="366">
        <f t="shared" si="12"/>
        <v>6021</v>
      </c>
      <c r="I25" s="354" t="s">
        <v>525</v>
      </c>
      <c r="J25" s="362">
        <f t="shared" si="5"/>
        <v>10021</v>
      </c>
      <c r="K25" s="362">
        <f t="shared" si="6"/>
        <v>2021</v>
      </c>
      <c r="L25" s="362">
        <f t="shared" si="7"/>
        <v>3021</v>
      </c>
      <c r="M25" s="362">
        <f t="shared" si="8"/>
        <v>4021</v>
      </c>
      <c r="N25" s="362">
        <f t="shared" si="9"/>
        <v>5021</v>
      </c>
      <c r="O25" s="366">
        <f t="shared" si="13"/>
        <v>6021</v>
      </c>
      <c r="Q25" s="483" t="s">
        <v>574</v>
      </c>
      <c r="R25" s="362">
        <f t="shared" si="10"/>
        <v>1022</v>
      </c>
      <c r="S25" s="366">
        <f t="shared" si="11"/>
        <v>2022</v>
      </c>
    </row>
    <row r="26" spans="1:19" ht="15.75" thickBot="1">
      <c r="A26" s="354" t="s">
        <v>526</v>
      </c>
      <c r="B26" s="362">
        <f t="shared" si="0"/>
        <v>10022</v>
      </c>
      <c r="C26" s="362">
        <f t="shared" si="1"/>
        <v>2022</v>
      </c>
      <c r="D26" s="362">
        <f t="shared" si="2"/>
        <v>3022</v>
      </c>
      <c r="E26" s="362">
        <f t="shared" si="3"/>
        <v>4022</v>
      </c>
      <c r="F26" s="362">
        <f t="shared" si="4"/>
        <v>5022</v>
      </c>
      <c r="G26" s="366">
        <f t="shared" si="12"/>
        <v>6022</v>
      </c>
      <c r="I26" s="354" t="s">
        <v>526</v>
      </c>
      <c r="J26" s="362">
        <f t="shared" si="5"/>
        <v>10022</v>
      </c>
      <c r="K26" s="362">
        <f t="shared" si="6"/>
        <v>2022</v>
      </c>
      <c r="L26" s="362">
        <f t="shared" si="7"/>
        <v>3022</v>
      </c>
      <c r="M26" s="362">
        <f t="shared" si="8"/>
        <v>4022</v>
      </c>
      <c r="N26" s="362">
        <f t="shared" si="9"/>
        <v>5022</v>
      </c>
      <c r="O26" s="366">
        <f t="shared" si="13"/>
        <v>6022</v>
      </c>
      <c r="Q26" s="484" t="s">
        <v>575</v>
      </c>
      <c r="R26" s="363">
        <f t="shared" si="10"/>
        <v>1023</v>
      </c>
      <c r="S26" s="367">
        <f t="shared" si="11"/>
        <v>2023</v>
      </c>
    </row>
    <row r="27" spans="1:19" ht="15.75" thickBot="1">
      <c r="A27" s="355" t="s">
        <v>527</v>
      </c>
      <c r="B27" s="363">
        <f t="shared" si="0"/>
        <v>10023</v>
      </c>
      <c r="C27" s="363">
        <f t="shared" si="1"/>
        <v>2023</v>
      </c>
      <c r="D27" s="363">
        <f t="shared" si="2"/>
        <v>3023</v>
      </c>
      <c r="E27" s="363">
        <f t="shared" si="3"/>
        <v>4023</v>
      </c>
      <c r="F27" s="363">
        <f t="shared" si="4"/>
        <v>5023</v>
      </c>
      <c r="G27" s="367">
        <f t="shared" si="12"/>
        <v>6023</v>
      </c>
      <c r="I27" s="386" t="s">
        <v>527</v>
      </c>
      <c r="J27" s="387">
        <f t="shared" si="5"/>
        <v>10023</v>
      </c>
      <c r="K27" s="387">
        <f t="shared" si="6"/>
        <v>2023</v>
      </c>
      <c r="L27" s="387">
        <f t="shared" si="7"/>
        <v>3023</v>
      </c>
      <c r="M27" s="387">
        <f t="shared" si="8"/>
        <v>4023</v>
      </c>
      <c r="N27" s="387">
        <f t="shared" si="9"/>
        <v>5023</v>
      </c>
      <c r="O27" s="388">
        <f t="shared" si="13"/>
        <v>6023</v>
      </c>
    </row>
    <row r="28" spans="1:19">
      <c r="A28" s="360" t="s">
        <v>528</v>
      </c>
      <c r="B28" s="361">
        <f t="shared" si="0"/>
        <v>10024</v>
      </c>
      <c r="C28" s="361">
        <f t="shared" si="1"/>
        <v>2024</v>
      </c>
      <c r="D28" s="361">
        <f t="shared" si="2"/>
        <v>3024</v>
      </c>
      <c r="E28" s="361">
        <f t="shared" si="3"/>
        <v>4024</v>
      </c>
      <c r="F28" s="361">
        <f t="shared" si="4"/>
        <v>5024</v>
      </c>
      <c r="G28" s="365">
        <f t="shared" si="12"/>
        <v>6024</v>
      </c>
      <c r="I28" s="360" t="s">
        <v>528</v>
      </c>
      <c r="J28" s="361">
        <f t="shared" si="5"/>
        <v>10024</v>
      </c>
      <c r="K28" s="361">
        <f t="shared" si="6"/>
        <v>2024</v>
      </c>
      <c r="L28" s="361">
        <f t="shared" si="7"/>
        <v>3024</v>
      </c>
      <c r="M28" s="361">
        <f t="shared" si="8"/>
        <v>4024</v>
      </c>
      <c r="N28" s="361">
        <f t="shared" si="9"/>
        <v>5024</v>
      </c>
      <c r="O28" s="365">
        <f t="shared" si="13"/>
        <v>6024</v>
      </c>
    </row>
    <row r="29" spans="1:19">
      <c r="A29" s="354" t="s">
        <v>529</v>
      </c>
      <c r="B29" s="362">
        <f t="shared" si="0"/>
        <v>10025</v>
      </c>
      <c r="C29" s="362">
        <f t="shared" si="1"/>
        <v>2025</v>
      </c>
      <c r="D29" s="362">
        <f t="shared" si="2"/>
        <v>3025</v>
      </c>
      <c r="E29" s="362">
        <f t="shared" si="3"/>
        <v>4025</v>
      </c>
      <c r="F29" s="362">
        <f t="shared" si="4"/>
        <v>5025</v>
      </c>
      <c r="G29" s="366">
        <f t="shared" si="12"/>
        <v>6025</v>
      </c>
      <c r="I29" s="354" t="s">
        <v>529</v>
      </c>
      <c r="J29" s="362">
        <f t="shared" si="5"/>
        <v>10025</v>
      </c>
      <c r="K29" s="362">
        <f t="shared" si="6"/>
        <v>2025</v>
      </c>
      <c r="L29" s="362">
        <f t="shared" si="7"/>
        <v>3025</v>
      </c>
      <c r="M29" s="362">
        <f t="shared" si="8"/>
        <v>4025</v>
      </c>
      <c r="N29" s="362">
        <f t="shared" si="9"/>
        <v>5025</v>
      </c>
      <c r="O29" s="366">
        <f t="shared" si="13"/>
        <v>6025</v>
      </c>
    </row>
    <row r="30" spans="1:19">
      <c r="A30" s="354" t="s">
        <v>530</v>
      </c>
      <c r="B30" s="362">
        <f t="shared" si="0"/>
        <v>10026</v>
      </c>
      <c r="C30" s="362">
        <f t="shared" si="1"/>
        <v>2026</v>
      </c>
      <c r="D30" s="362">
        <f t="shared" si="2"/>
        <v>3026</v>
      </c>
      <c r="E30" s="362">
        <f t="shared" si="3"/>
        <v>4026</v>
      </c>
      <c r="F30" s="362">
        <f t="shared" si="4"/>
        <v>5026</v>
      </c>
      <c r="G30" s="366">
        <f t="shared" si="12"/>
        <v>6026</v>
      </c>
      <c r="I30" s="354" t="s">
        <v>530</v>
      </c>
      <c r="J30" s="362">
        <f t="shared" si="5"/>
        <v>10026</v>
      </c>
      <c r="K30" s="362">
        <f t="shared" si="6"/>
        <v>2026</v>
      </c>
      <c r="L30" s="362">
        <f t="shared" si="7"/>
        <v>3026</v>
      </c>
      <c r="M30" s="362">
        <f t="shared" si="8"/>
        <v>4026</v>
      </c>
      <c r="N30" s="362">
        <f t="shared" si="9"/>
        <v>5026</v>
      </c>
      <c r="O30" s="366">
        <f t="shared" si="13"/>
        <v>6026</v>
      </c>
    </row>
    <row r="31" spans="1:19">
      <c r="A31" s="354" t="s">
        <v>531</v>
      </c>
      <c r="B31" s="362">
        <f t="shared" si="0"/>
        <v>10027</v>
      </c>
      <c r="C31" s="362">
        <f t="shared" si="1"/>
        <v>2027</v>
      </c>
      <c r="D31" s="362">
        <f t="shared" si="2"/>
        <v>3027</v>
      </c>
      <c r="E31" s="362">
        <f t="shared" si="3"/>
        <v>4027</v>
      </c>
      <c r="F31" s="362">
        <f t="shared" si="4"/>
        <v>5027</v>
      </c>
      <c r="G31" s="366">
        <f t="shared" si="12"/>
        <v>6027</v>
      </c>
      <c r="I31" s="354" t="s">
        <v>531</v>
      </c>
      <c r="J31" s="362">
        <f t="shared" si="5"/>
        <v>10027</v>
      </c>
      <c r="K31" s="362">
        <f t="shared" si="6"/>
        <v>2027</v>
      </c>
      <c r="L31" s="362">
        <f t="shared" si="7"/>
        <v>3027</v>
      </c>
      <c r="M31" s="362">
        <f t="shared" si="8"/>
        <v>4027</v>
      </c>
      <c r="N31" s="362">
        <f t="shared" si="9"/>
        <v>5027</v>
      </c>
      <c r="O31" s="366">
        <f t="shared" si="13"/>
        <v>6027</v>
      </c>
    </row>
    <row r="32" spans="1:19">
      <c r="A32" s="354" t="s">
        <v>532</v>
      </c>
      <c r="B32" s="362">
        <f t="shared" si="0"/>
        <v>10028</v>
      </c>
      <c r="C32" s="362">
        <f t="shared" si="1"/>
        <v>2028</v>
      </c>
      <c r="D32" s="362">
        <f t="shared" si="2"/>
        <v>3028</v>
      </c>
      <c r="E32" s="362">
        <f t="shared" si="3"/>
        <v>4028</v>
      </c>
      <c r="F32" s="362">
        <f t="shared" si="4"/>
        <v>5028</v>
      </c>
      <c r="G32" s="366">
        <f t="shared" si="12"/>
        <v>6028</v>
      </c>
      <c r="I32" s="354" t="s">
        <v>532</v>
      </c>
      <c r="J32" s="362">
        <f t="shared" si="5"/>
        <v>10028</v>
      </c>
      <c r="K32" s="362">
        <f t="shared" si="6"/>
        <v>2028</v>
      </c>
      <c r="L32" s="362">
        <f t="shared" si="7"/>
        <v>3028</v>
      </c>
      <c r="M32" s="362">
        <f t="shared" si="8"/>
        <v>4028</v>
      </c>
      <c r="N32" s="362">
        <f t="shared" si="9"/>
        <v>5028</v>
      </c>
      <c r="O32" s="366">
        <f t="shared" si="13"/>
        <v>6028</v>
      </c>
    </row>
    <row r="33" spans="1:15" ht="15.75" thickBot="1">
      <c r="A33" s="355" t="s">
        <v>533</v>
      </c>
      <c r="B33" s="363">
        <f t="shared" si="0"/>
        <v>10029</v>
      </c>
      <c r="C33" s="363">
        <f t="shared" si="1"/>
        <v>2029</v>
      </c>
      <c r="D33" s="363">
        <f t="shared" si="2"/>
        <v>3029</v>
      </c>
      <c r="E33" s="363">
        <f t="shared" si="3"/>
        <v>4029</v>
      </c>
      <c r="F33" s="363">
        <f t="shared" si="4"/>
        <v>5029</v>
      </c>
      <c r="G33" s="367">
        <f t="shared" si="12"/>
        <v>6029</v>
      </c>
      <c r="I33" s="355" t="s">
        <v>533</v>
      </c>
      <c r="J33" s="363">
        <f t="shared" si="5"/>
        <v>10029</v>
      </c>
      <c r="K33" s="363">
        <f t="shared" si="6"/>
        <v>2029</v>
      </c>
      <c r="L33" s="363">
        <f t="shared" si="7"/>
        <v>3029</v>
      </c>
      <c r="M33" s="363">
        <f t="shared" si="8"/>
        <v>4029</v>
      </c>
      <c r="N33" s="363">
        <f t="shared" si="9"/>
        <v>5029</v>
      </c>
      <c r="O33" s="367">
        <f t="shared" si="13"/>
        <v>6029</v>
      </c>
    </row>
    <row r="34" spans="1:15">
      <c r="A34" s="360" t="s">
        <v>534</v>
      </c>
      <c r="B34" s="361">
        <f t="shared" si="0"/>
        <v>10030</v>
      </c>
      <c r="C34" s="361">
        <f t="shared" si="1"/>
        <v>2030</v>
      </c>
      <c r="D34" s="361">
        <f t="shared" si="2"/>
        <v>3030</v>
      </c>
      <c r="E34" s="361">
        <f t="shared" si="3"/>
        <v>4030</v>
      </c>
      <c r="F34" s="361">
        <f t="shared" si="4"/>
        <v>5030</v>
      </c>
      <c r="G34" s="365">
        <f t="shared" si="12"/>
        <v>6030</v>
      </c>
      <c r="I34" s="353" t="s">
        <v>534</v>
      </c>
      <c r="J34" s="373">
        <f t="shared" si="5"/>
        <v>10030</v>
      </c>
      <c r="K34" s="373">
        <f t="shared" si="6"/>
        <v>2030</v>
      </c>
      <c r="L34" s="373">
        <f t="shared" si="7"/>
        <v>3030</v>
      </c>
      <c r="M34" s="373">
        <f t="shared" si="8"/>
        <v>4030</v>
      </c>
      <c r="N34" s="373">
        <f t="shared" si="9"/>
        <v>5030</v>
      </c>
      <c r="O34" s="382">
        <f t="shared" si="13"/>
        <v>6030</v>
      </c>
    </row>
    <row r="35" spans="1:15">
      <c r="A35" s="354" t="s">
        <v>535</v>
      </c>
      <c r="B35" s="362">
        <f t="shared" si="0"/>
        <v>10031</v>
      </c>
      <c r="C35" s="362">
        <f t="shared" si="1"/>
        <v>2031</v>
      </c>
      <c r="D35" s="362">
        <f t="shared" si="2"/>
        <v>3031</v>
      </c>
      <c r="E35" s="362">
        <f t="shared" si="3"/>
        <v>4031</v>
      </c>
      <c r="F35" s="362">
        <f t="shared" si="4"/>
        <v>5031</v>
      </c>
      <c r="G35" s="366">
        <f t="shared" si="12"/>
        <v>6031</v>
      </c>
      <c r="I35" s="354" t="s">
        <v>535</v>
      </c>
      <c r="J35" s="362">
        <f t="shared" si="5"/>
        <v>10031</v>
      </c>
      <c r="K35" s="362">
        <f t="shared" si="6"/>
        <v>2031</v>
      </c>
      <c r="L35" s="362">
        <f t="shared" si="7"/>
        <v>3031</v>
      </c>
      <c r="M35" s="362">
        <f t="shared" si="8"/>
        <v>4031</v>
      </c>
      <c r="N35" s="362">
        <f t="shared" si="9"/>
        <v>5031</v>
      </c>
      <c r="O35" s="366">
        <f t="shared" si="13"/>
        <v>6031</v>
      </c>
    </row>
    <row r="36" spans="1:15">
      <c r="A36" s="354" t="s">
        <v>536</v>
      </c>
      <c r="B36" s="362">
        <f t="shared" si="0"/>
        <v>10032</v>
      </c>
      <c r="C36" s="362">
        <f t="shared" si="1"/>
        <v>2032</v>
      </c>
      <c r="D36" s="362">
        <f t="shared" si="2"/>
        <v>3032</v>
      </c>
      <c r="E36" s="362">
        <f t="shared" si="3"/>
        <v>4032</v>
      </c>
      <c r="F36" s="362">
        <f t="shared" si="4"/>
        <v>5032</v>
      </c>
      <c r="G36" s="366">
        <f t="shared" si="12"/>
        <v>6032</v>
      </c>
      <c r="I36" s="354" t="s">
        <v>536</v>
      </c>
      <c r="J36" s="362">
        <f t="shared" si="5"/>
        <v>10032</v>
      </c>
      <c r="K36" s="362">
        <f t="shared" si="6"/>
        <v>2032</v>
      </c>
      <c r="L36" s="362">
        <f t="shared" si="7"/>
        <v>3032</v>
      </c>
      <c r="M36" s="362">
        <f t="shared" si="8"/>
        <v>4032</v>
      </c>
      <c r="N36" s="362">
        <f t="shared" si="9"/>
        <v>5032</v>
      </c>
      <c r="O36" s="366">
        <f t="shared" si="13"/>
        <v>6032</v>
      </c>
    </row>
    <row r="37" spans="1:15">
      <c r="A37" s="354" t="s">
        <v>537</v>
      </c>
      <c r="B37" s="362">
        <f t="shared" si="0"/>
        <v>10033</v>
      </c>
      <c r="C37" s="362">
        <f t="shared" si="1"/>
        <v>2033</v>
      </c>
      <c r="D37" s="362">
        <f t="shared" si="2"/>
        <v>3033</v>
      </c>
      <c r="E37" s="362">
        <f t="shared" si="3"/>
        <v>4033</v>
      </c>
      <c r="F37" s="362">
        <f t="shared" si="4"/>
        <v>5033</v>
      </c>
      <c r="G37" s="366">
        <f t="shared" si="12"/>
        <v>6033</v>
      </c>
      <c r="I37" s="354" t="s">
        <v>537</v>
      </c>
      <c r="J37" s="362">
        <f t="shared" si="5"/>
        <v>10033</v>
      </c>
      <c r="K37" s="362">
        <f t="shared" si="6"/>
        <v>2033</v>
      </c>
      <c r="L37" s="362">
        <f t="shared" si="7"/>
        <v>3033</v>
      </c>
      <c r="M37" s="362">
        <f t="shared" si="8"/>
        <v>4033</v>
      </c>
      <c r="N37" s="362">
        <f t="shared" si="9"/>
        <v>5033</v>
      </c>
      <c r="O37" s="366">
        <f t="shared" si="13"/>
        <v>6033</v>
      </c>
    </row>
    <row r="38" spans="1:15">
      <c r="A38" s="354" t="s">
        <v>538</v>
      </c>
      <c r="B38" s="362">
        <f t="shared" si="0"/>
        <v>10034</v>
      </c>
      <c r="C38" s="362">
        <f t="shared" si="1"/>
        <v>2034</v>
      </c>
      <c r="D38" s="362">
        <f t="shared" si="2"/>
        <v>3034</v>
      </c>
      <c r="E38" s="362">
        <f t="shared" si="3"/>
        <v>4034</v>
      </c>
      <c r="F38" s="362">
        <f t="shared" si="4"/>
        <v>5034</v>
      </c>
      <c r="G38" s="366">
        <f t="shared" si="12"/>
        <v>6034</v>
      </c>
      <c r="I38" s="354" t="s">
        <v>538</v>
      </c>
      <c r="J38" s="362">
        <f t="shared" si="5"/>
        <v>10034</v>
      </c>
      <c r="K38" s="362">
        <f t="shared" si="6"/>
        <v>2034</v>
      </c>
      <c r="L38" s="362">
        <f t="shared" si="7"/>
        <v>3034</v>
      </c>
      <c r="M38" s="362">
        <f t="shared" si="8"/>
        <v>4034</v>
      </c>
      <c r="N38" s="362">
        <f t="shared" si="9"/>
        <v>5034</v>
      </c>
      <c r="O38" s="366">
        <f t="shared" si="13"/>
        <v>6034</v>
      </c>
    </row>
    <row r="39" spans="1:15" ht="15.75" thickBot="1">
      <c r="A39" s="355" t="s">
        <v>539</v>
      </c>
      <c r="B39" s="363">
        <f t="shared" si="0"/>
        <v>10035</v>
      </c>
      <c r="C39" s="363">
        <f t="shared" si="1"/>
        <v>2035</v>
      </c>
      <c r="D39" s="363">
        <f t="shared" si="2"/>
        <v>3035</v>
      </c>
      <c r="E39" s="363">
        <f t="shared" si="3"/>
        <v>4035</v>
      </c>
      <c r="F39" s="363">
        <f t="shared" si="4"/>
        <v>5035</v>
      </c>
      <c r="G39" s="367">
        <f t="shared" si="12"/>
        <v>6035</v>
      </c>
      <c r="I39" s="386" t="s">
        <v>539</v>
      </c>
      <c r="J39" s="387">
        <f t="shared" si="5"/>
        <v>10035</v>
      </c>
      <c r="K39" s="387">
        <f t="shared" si="6"/>
        <v>2035</v>
      </c>
      <c r="L39" s="387">
        <f t="shared" si="7"/>
        <v>3035</v>
      </c>
      <c r="M39" s="387">
        <f t="shared" si="8"/>
        <v>4035</v>
      </c>
      <c r="N39" s="387">
        <f t="shared" si="9"/>
        <v>5035</v>
      </c>
      <c r="O39" s="388">
        <f t="shared" si="13"/>
        <v>6035</v>
      </c>
    </row>
    <row r="40" spans="1:15">
      <c r="A40" s="360" t="s">
        <v>540</v>
      </c>
      <c r="B40" s="361">
        <f t="shared" si="0"/>
        <v>10036</v>
      </c>
      <c r="C40" s="361">
        <f t="shared" si="1"/>
        <v>2036</v>
      </c>
      <c r="D40" s="361">
        <f t="shared" si="2"/>
        <v>3036</v>
      </c>
      <c r="E40" s="361">
        <f t="shared" si="3"/>
        <v>4036</v>
      </c>
      <c r="F40" s="361">
        <f t="shared" si="4"/>
        <v>5036</v>
      </c>
      <c r="G40" s="365">
        <f t="shared" si="12"/>
        <v>6036</v>
      </c>
      <c r="I40" s="360" t="s">
        <v>540</v>
      </c>
      <c r="J40" s="361">
        <f t="shared" si="5"/>
        <v>10036</v>
      </c>
      <c r="K40" s="361">
        <f t="shared" si="6"/>
        <v>2036</v>
      </c>
      <c r="L40" s="361">
        <f t="shared" si="7"/>
        <v>3036</v>
      </c>
      <c r="M40" s="361">
        <f t="shared" si="8"/>
        <v>4036</v>
      </c>
      <c r="N40" s="361">
        <f t="shared" si="9"/>
        <v>5036</v>
      </c>
      <c r="O40" s="365">
        <f t="shared" si="13"/>
        <v>6036</v>
      </c>
    </row>
    <row r="41" spans="1:15">
      <c r="A41" s="354" t="s">
        <v>541</v>
      </c>
      <c r="B41" s="362">
        <f t="shared" si="0"/>
        <v>10037</v>
      </c>
      <c r="C41" s="362">
        <f t="shared" si="1"/>
        <v>2037</v>
      </c>
      <c r="D41" s="362">
        <f t="shared" si="2"/>
        <v>3037</v>
      </c>
      <c r="E41" s="362">
        <f t="shared" si="3"/>
        <v>4037</v>
      </c>
      <c r="F41" s="362">
        <f t="shared" si="4"/>
        <v>5037</v>
      </c>
      <c r="G41" s="366">
        <f t="shared" si="12"/>
        <v>6037</v>
      </c>
      <c r="I41" s="354" t="s">
        <v>541</v>
      </c>
      <c r="J41" s="362">
        <f t="shared" si="5"/>
        <v>10037</v>
      </c>
      <c r="K41" s="362">
        <f t="shared" si="6"/>
        <v>2037</v>
      </c>
      <c r="L41" s="362">
        <f t="shared" si="7"/>
        <v>3037</v>
      </c>
      <c r="M41" s="362">
        <f t="shared" si="8"/>
        <v>4037</v>
      </c>
      <c r="N41" s="362">
        <f t="shared" si="9"/>
        <v>5037</v>
      </c>
      <c r="O41" s="366">
        <f t="shared" si="13"/>
        <v>6037</v>
      </c>
    </row>
    <row r="42" spans="1:15">
      <c r="A42" s="354" t="s">
        <v>542</v>
      </c>
      <c r="B42" s="362">
        <f t="shared" si="0"/>
        <v>10038</v>
      </c>
      <c r="C42" s="362">
        <f t="shared" si="1"/>
        <v>2038</v>
      </c>
      <c r="D42" s="362">
        <f t="shared" si="2"/>
        <v>3038</v>
      </c>
      <c r="E42" s="362">
        <f t="shared" si="3"/>
        <v>4038</v>
      </c>
      <c r="F42" s="362">
        <f t="shared" si="4"/>
        <v>5038</v>
      </c>
      <c r="G42" s="366">
        <f t="shared" si="12"/>
        <v>6038</v>
      </c>
      <c r="I42" s="354" t="s">
        <v>542</v>
      </c>
      <c r="J42" s="362">
        <f t="shared" si="5"/>
        <v>10038</v>
      </c>
      <c r="K42" s="362">
        <f t="shared" si="6"/>
        <v>2038</v>
      </c>
      <c r="L42" s="362">
        <f t="shared" si="7"/>
        <v>3038</v>
      </c>
      <c r="M42" s="362">
        <f t="shared" si="8"/>
        <v>4038</v>
      </c>
      <c r="N42" s="362">
        <f t="shared" si="9"/>
        <v>5038</v>
      </c>
      <c r="O42" s="366">
        <f t="shared" si="13"/>
        <v>6038</v>
      </c>
    </row>
    <row r="43" spans="1:15">
      <c r="A43" s="354" t="s">
        <v>543</v>
      </c>
      <c r="B43" s="362">
        <f t="shared" si="0"/>
        <v>10039</v>
      </c>
      <c r="C43" s="362">
        <f t="shared" si="1"/>
        <v>2039</v>
      </c>
      <c r="D43" s="362">
        <f t="shared" si="2"/>
        <v>3039</v>
      </c>
      <c r="E43" s="362">
        <f t="shared" si="3"/>
        <v>4039</v>
      </c>
      <c r="F43" s="362">
        <f t="shared" si="4"/>
        <v>5039</v>
      </c>
      <c r="G43" s="366">
        <f t="shared" si="12"/>
        <v>6039</v>
      </c>
      <c r="I43" s="354" t="s">
        <v>543</v>
      </c>
      <c r="J43" s="362">
        <f t="shared" si="5"/>
        <v>10039</v>
      </c>
      <c r="K43" s="362">
        <f t="shared" si="6"/>
        <v>2039</v>
      </c>
      <c r="L43" s="362">
        <f t="shared" si="7"/>
        <v>3039</v>
      </c>
      <c r="M43" s="362">
        <f t="shared" si="8"/>
        <v>4039</v>
      </c>
      <c r="N43" s="362">
        <f t="shared" si="9"/>
        <v>5039</v>
      </c>
      <c r="O43" s="366">
        <f t="shared" si="13"/>
        <v>6039</v>
      </c>
    </row>
    <row r="44" spans="1:15">
      <c r="A44" s="354" t="s">
        <v>544</v>
      </c>
      <c r="B44" s="362">
        <f t="shared" si="0"/>
        <v>10040</v>
      </c>
      <c r="C44" s="362">
        <f t="shared" si="1"/>
        <v>2040</v>
      </c>
      <c r="D44" s="362">
        <f t="shared" si="2"/>
        <v>3040</v>
      </c>
      <c r="E44" s="362">
        <f t="shared" si="3"/>
        <v>4040</v>
      </c>
      <c r="F44" s="362">
        <f t="shared" si="4"/>
        <v>5040</v>
      </c>
      <c r="G44" s="366">
        <f t="shared" si="12"/>
        <v>6040</v>
      </c>
      <c r="I44" s="354" t="s">
        <v>544</v>
      </c>
      <c r="J44" s="362">
        <f t="shared" si="5"/>
        <v>10040</v>
      </c>
      <c r="K44" s="362">
        <f t="shared" si="6"/>
        <v>2040</v>
      </c>
      <c r="L44" s="362">
        <f t="shared" si="7"/>
        <v>3040</v>
      </c>
      <c r="M44" s="362">
        <f t="shared" si="8"/>
        <v>4040</v>
      </c>
      <c r="N44" s="362">
        <f t="shared" si="9"/>
        <v>5040</v>
      </c>
      <c r="O44" s="366">
        <f t="shared" si="13"/>
        <v>6040</v>
      </c>
    </row>
    <row r="45" spans="1:15" ht="15.75" thickBot="1">
      <c r="A45" s="355" t="s">
        <v>545</v>
      </c>
      <c r="B45" s="363">
        <f t="shared" si="0"/>
        <v>10041</v>
      </c>
      <c r="C45" s="363">
        <f t="shared" si="1"/>
        <v>2041</v>
      </c>
      <c r="D45" s="363">
        <f t="shared" si="2"/>
        <v>3041</v>
      </c>
      <c r="E45" s="363">
        <f t="shared" si="3"/>
        <v>4041</v>
      </c>
      <c r="F45" s="363">
        <f t="shared" si="4"/>
        <v>5041</v>
      </c>
      <c r="G45" s="367">
        <f t="shared" si="12"/>
        <v>6041</v>
      </c>
      <c r="I45" s="355" t="s">
        <v>545</v>
      </c>
      <c r="J45" s="363">
        <f t="shared" si="5"/>
        <v>10041</v>
      </c>
      <c r="K45" s="363">
        <f t="shared" si="6"/>
        <v>2041</v>
      </c>
      <c r="L45" s="363">
        <f t="shared" si="7"/>
        <v>3041</v>
      </c>
      <c r="M45" s="363">
        <f t="shared" si="8"/>
        <v>4041</v>
      </c>
      <c r="N45" s="363">
        <f t="shared" si="9"/>
        <v>5041</v>
      </c>
      <c r="O45" s="367">
        <f t="shared" si="13"/>
        <v>6041</v>
      </c>
    </row>
    <row r="46" spans="1:15">
      <c r="A46" s="360" t="s">
        <v>546</v>
      </c>
      <c r="B46" s="361">
        <f t="shared" si="0"/>
        <v>10042</v>
      </c>
      <c r="C46" s="361">
        <f t="shared" si="1"/>
        <v>2042</v>
      </c>
      <c r="D46" s="361">
        <f t="shared" si="2"/>
        <v>3042</v>
      </c>
      <c r="E46" s="361">
        <f t="shared" si="3"/>
        <v>4042</v>
      </c>
      <c r="F46" s="361">
        <f t="shared" si="4"/>
        <v>5042</v>
      </c>
      <c r="G46" s="365">
        <f t="shared" si="12"/>
        <v>6042</v>
      </c>
      <c r="I46" s="353" t="s">
        <v>546</v>
      </c>
      <c r="J46" s="373">
        <f t="shared" si="5"/>
        <v>10042</v>
      </c>
      <c r="K46" s="373">
        <f t="shared" si="6"/>
        <v>2042</v>
      </c>
      <c r="L46" s="373">
        <f t="shared" si="7"/>
        <v>3042</v>
      </c>
      <c r="M46" s="373">
        <f t="shared" si="8"/>
        <v>4042</v>
      </c>
      <c r="N46" s="373">
        <f t="shared" si="9"/>
        <v>5042</v>
      </c>
      <c r="O46" s="382">
        <f t="shared" si="13"/>
        <v>6042</v>
      </c>
    </row>
    <row r="47" spans="1:15">
      <c r="A47" s="354" t="s">
        <v>547</v>
      </c>
      <c r="B47" s="362">
        <f t="shared" si="0"/>
        <v>10043</v>
      </c>
      <c r="C47" s="362">
        <f t="shared" si="1"/>
        <v>2043</v>
      </c>
      <c r="D47" s="362">
        <f t="shared" si="2"/>
        <v>3043</v>
      </c>
      <c r="E47" s="362">
        <f t="shared" si="3"/>
        <v>4043</v>
      </c>
      <c r="F47" s="362">
        <f t="shared" si="4"/>
        <v>5043</v>
      </c>
      <c r="G47" s="366">
        <f t="shared" si="12"/>
        <v>6043</v>
      </c>
      <c r="I47" s="354" t="s">
        <v>547</v>
      </c>
      <c r="J47" s="362">
        <f t="shared" si="5"/>
        <v>10043</v>
      </c>
      <c r="K47" s="362">
        <f t="shared" si="6"/>
        <v>2043</v>
      </c>
      <c r="L47" s="362">
        <f t="shared" si="7"/>
        <v>3043</v>
      </c>
      <c r="M47" s="362">
        <f t="shared" si="8"/>
        <v>4043</v>
      </c>
      <c r="N47" s="362">
        <f t="shared" si="9"/>
        <v>5043</v>
      </c>
      <c r="O47" s="366">
        <f t="shared" si="13"/>
        <v>6043</v>
      </c>
    </row>
    <row r="48" spans="1:15">
      <c r="A48" s="354" t="s">
        <v>548</v>
      </c>
      <c r="B48" s="362">
        <f t="shared" si="0"/>
        <v>10044</v>
      </c>
      <c r="C48" s="362">
        <f t="shared" si="1"/>
        <v>2044</v>
      </c>
      <c r="D48" s="362">
        <f t="shared" si="2"/>
        <v>3044</v>
      </c>
      <c r="E48" s="362">
        <f t="shared" si="3"/>
        <v>4044</v>
      </c>
      <c r="F48" s="362">
        <f t="shared" si="4"/>
        <v>5044</v>
      </c>
      <c r="G48" s="366">
        <f t="shared" si="12"/>
        <v>6044</v>
      </c>
      <c r="I48" s="354" t="s">
        <v>548</v>
      </c>
      <c r="J48" s="362">
        <f t="shared" si="5"/>
        <v>10044</v>
      </c>
      <c r="K48" s="362">
        <f t="shared" si="6"/>
        <v>2044</v>
      </c>
      <c r="L48" s="362">
        <f t="shared" si="7"/>
        <v>3044</v>
      </c>
      <c r="M48" s="362">
        <f t="shared" si="8"/>
        <v>4044</v>
      </c>
      <c r="N48" s="362">
        <f t="shared" si="9"/>
        <v>5044</v>
      </c>
      <c r="O48" s="366">
        <f t="shared" si="13"/>
        <v>6044</v>
      </c>
    </row>
    <row r="49" spans="1:15">
      <c r="A49" s="354" t="s">
        <v>549</v>
      </c>
      <c r="B49" s="362">
        <f t="shared" si="0"/>
        <v>10045</v>
      </c>
      <c r="C49" s="362">
        <f t="shared" si="1"/>
        <v>2045</v>
      </c>
      <c r="D49" s="362">
        <f t="shared" si="2"/>
        <v>3045</v>
      </c>
      <c r="E49" s="362">
        <f t="shared" si="3"/>
        <v>4045</v>
      </c>
      <c r="F49" s="362">
        <f t="shared" si="4"/>
        <v>5045</v>
      </c>
      <c r="G49" s="366">
        <f t="shared" si="12"/>
        <v>6045</v>
      </c>
      <c r="I49" s="354" t="s">
        <v>549</v>
      </c>
      <c r="J49" s="362">
        <f t="shared" si="5"/>
        <v>10045</v>
      </c>
      <c r="K49" s="362">
        <f t="shared" si="6"/>
        <v>2045</v>
      </c>
      <c r="L49" s="362">
        <f t="shared" si="7"/>
        <v>3045</v>
      </c>
      <c r="M49" s="362">
        <f t="shared" si="8"/>
        <v>4045</v>
      </c>
      <c r="N49" s="362">
        <f t="shared" si="9"/>
        <v>5045</v>
      </c>
      <c r="O49" s="366">
        <f t="shared" si="13"/>
        <v>6045</v>
      </c>
    </row>
    <row r="50" spans="1:15">
      <c r="A50" s="354" t="s">
        <v>550</v>
      </c>
      <c r="B50" s="362">
        <f t="shared" si="0"/>
        <v>10046</v>
      </c>
      <c r="C50" s="362">
        <f t="shared" si="1"/>
        <v>2046</v>
      </c>
      <c r="D50" s="362">
        <f t="shared" si="2"/>
        <v>3046</v>
      </c>
      <c r="E50" s="362">
        <f t="shared" si="3"/>
        <v>4046</v>
      </c>
      <c r="F50" s="362">
        <f t="shared" si="4"/>
        <v>5046</v>
      </c>
      <c r="G50" s="366">
        <f t="shared" si="12"/>
        <v>6046</v>
      </c>
      <c r="I50" s="354" t="s">
        <v>550</v>
      </c>
      <c r="J50" s="362">
        <f t="shared" si="5"/>
        <v>10046</v>
      </c>
      <c r="K50" s="362">
        <f t="shared" si="6"/>
        <v>2046</v>
      </c>
      <c r="L50" s="362">
        <f t="shared" si="7"/>
        <v>3046</v>
      </c>
      <c r="M50" s="362">
        <f t="shared" si="8"/>
        <v>4046</v>
      </c>
      <c r="N50" s="362">
        <f t="shared" si="9"/>
        <v>5046</v>
      </c>
      <c r="O50" s="366">
        <f t="shared" si="13"/>
        <v>6046</v>
      </c>
    </row>
    <row r="51" spans="1:15" ht="15.75" thickBot="1">
      <c r="A51" s="355" t="s">
        <v>551</v>
      </c>
      <c r="B51" s="363">
        <f t="shared" si="0"/>
        <v>10047</v>
      </c>
      <c r="C51" s="363">
        <f t="shared" si="1"/>
        <v>2047</v>
      </c>
      <c r="D51" s="363">
        <f t="shared" si="2"/>
        <v>3047</v>
      </c>
      <c r="E51" s="363">
        <f t="shared" si="3"/>
        <v>4047</v>
      </c>
      <c r="F51" s="363">
        <f t="shared" si="4"/>
        <v>5047</v>
      </c>
      <c r="G51" s="367">
        <f t="shared" si="12"/>
        <v>6047</v>
      </c>
      <c r="I51" s="355" t="s">
        <v>551</v>
      </c>
      <c r="J51" s="363">
        <f t="shared" si="5"/>
        <v>10047</v>
      </c>
      <c r="K51" s="363">
        <f t="shared" si="6"/>
        <v>2047</v>
      </c>
      <c r="L51" s="363">
        <f t="shared" si="7"/>
        <v>3047</v>
      </c>
      <c r="M51" s="363">
        <f t="shared" si="8"/>
        <v>4047</v>
      </c>
      <c r="N51" s="363">
        <f t="shared" si="9"/>
        <v>5047</v>
      </c>
      <c r="O51" s="367">
        <f t="shared" si="13"/>
        <v>6047</v>
      </c>
    </row>
    <row r="52" spans="1:15">
      <c r="A52" s="372"/>
      <c r="B52" s="370"/>
      <c r="C52" s="370"/>
      <c r="D52" s="370"/>
      <c r="E52" s="370"/>
      <c r="F52" s="370"/>
      <c r="G52" s="370"/>
    </row>
    <row r="53" spans="1:15">
      <c r="A53" s="372"/>
      <c r="B53" s="370"/>
      <c r="C53" s="370"/>
      <c r="D53" s="370"/>
      <c r="E53" s="370"/>
      <c r="F53" s="370"/>
      <c r="G53" s="370"/>
    </row>
  </sheetData>
  <mergeCells count="3">
    <mergeCell ref="I1:O1"/>
    <mergeCell ref="Q1:S1"/>
    <mergeCell ref="A1:G1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>
    <tabColor rgb="FF00B0F0"/>
  </sheetPr>
  <dimension ref="A1:AB102"/>
  <sheetViews>
    <sheetView zoomScaleNormal="100" workbookViewId="0">
      <selection activeCell="M13" sqref="M13"/>
    </sheetView>
  </sheetViews>
  <sheetFormatPr baseColWidth="10" defaultRowHeight="15"/>
  <cols>
    <col min="1" max="1" width="5.7109375" style="82" customWidth="1"/>
    <col min="2" max="2" width="8.85546875" style="81" bestFit="1" customWidth="1"/>
    <col min="3" max="3" width="21.42578125" style="77" bestFit="1" customWidth="1"/>
    <col min="4" max="4" width="14.140625" style="79" bestFit="1" customWidth="1"/>
    <col min="5" max="5" width="10.28515625" style="77" bestFit="1" customWidth="1"/>
    <col min="6" max="6" width="9.85546875" style="77" bestFit="1" customWidth="1"/>
    <col min="7" max="7" width="12" style="77" bestFit="1" customWidth="1"/>
    <col min="8" max="8" width="11.28515625" style="77" bestFit="1" customWidth="1"/>
    <col min="9" max="9" width="9.28515625" style="77" bestFit="1" customWidth="1"/>
    <col min="10" max="10" width="10.42578125" style="77" bestFit="1" customWidth="1"/>
    <col min="11" max="11" width="13" style="77" customWidth="1"/>
    <col min="12" max="12" width="11.7109375" style="77" bestFit="1" customWidth="1"/>
    <col min="13" max="13" width="10" style="77" bestFit="1" customWidth="1"/>
    <col min="14" max="15" width="5.7109375" style="77" customWidth="1"/>
    <col min="16" max="16" width="5.7109375" style="82" customWidth="1"/>
    <col min="17" max="21" width="11.28515625" style="77" customWidth="1"/>
    <col min="22" max="22" width="8.5703125" style="77" customWidth="1"/>
    <col min="23" max="41" width="11.28515625" style="77" customWidth="1"/>
    <col min="42" max="42" width="11.7109375" style="77" customWidth="1"/>
    <col min="43" max="16384" width="11.42578125" style="77"/>
  </cols>
  <sheetData>
    <row r="1" spans="1:28" ht="15.75" thickBot="1"/>
    <row r="2" spans="1:28" ht="18.75" customHeight="1" thickTop="1">
      <c r="A2" s="522" t="s">
        <v>460</v>
      </c>
      <c r="B2" s="523"/>
      <c r="C2" s="523"/>
      <c r="D2" s="523"/>
      <c r="E2" s="523"/>
      <c r="F2" s="523"/>
      <c r="G2" s="523"/>
      <c r="H2" s="523"/>
      <c r="I2" s="523"/>
      <c r="J2" s="523"/>
      <c r="K2" s="523"/>
      <c r="L2" s="523"/>
      <c r="M2" s="523"/>
      <c r="N2" s="524"/>
    </row>
    <row r="3" spans="1:28" ht="15" customHeight="1" thickBot="1">
      <c r="A3" s="327"/>
      <c r="C3" s="99"/>
      <c r="D3" s="81"/>
      <c r="E3" s="82"/>
      <c r="F3" s="82"/>
      <c r="G3" s="82"/>
      <c r="H3" s="82"/>
      <c r="I3" s="82"/>
      <c r="J3" s="82"/>
      <c r="K3" s="82"/>
      <c r="L3" s="82"/>
      <c r="M3" s="82"/>
      <c r="N3" s="328"/>
    </row>
    <row r="4" spans="1:28" ht="15.75" thickBot="1">
      <c r="A4" s="327"/>
      <c r="C4" s="508" t="s">
        <v>474</v>
      </c>
      <c r="D4" s="509"/>
      <c r="E4" s="509"/>
      <c r="F4" s="509"/>
      <c r="G4" s="509"/>
      <c r="H4" s="509"/>
      <c r="I4" s="509"/>
      <c r="J4" s="509"/>
      <c r="K4" s="510"/>
      <c r="L4" s="82"/>
      <c r="M4" s="82"/>
      <c r="N4" s="328"/>
    </row>
    <row r="5" spans="1:28" ht="15" customHeight="1">
      <c r="A5" s="327"/>
      <c r="C5" s="342" t="s">
        <v>66</v>
      </c>
      <c r="D5" s="343">
        <f>Q/3.6</f>
        <v>5.5555555555555554</v>
      </c>
      <c r="E5" s="344" t="s">
        <v>1</v>
      </c>
      <c r="F5" s="82"/>
      <c r="G5" s="525" t="s">
        <v>627</v>
      </c>
      <c r="H5" s="526"/>
      <c r="I5" s="526"/>
      <c r="J5" s="343">
        <f>'Linea de impulsión'!D24</f>
        <v>0.24598152373760285</v>
      </c>
      <c r="K5" s="345" t="s">
        <v>0</v>
      </c>
      <c r="L5" s="82"/>
      <c r="M5" s="36"/>
      <c r="N5" s="328"/>
    </row>
    <row r="6" spans="1:28" ht="15" customHeight="1">
      <c r="A6" s="327"/>
      <c r="C6" s="146" t="s">
        <v>66</v>
      </c>
      <c r="D6" s="191">
        <f>'Datos de entrada'!F8</f>
        <v>20</v>
      </c>
      <c r="E6" s="317" t="s">
        <v>467</v>
      </c>
      <c r="F6" s="82"/>
      <c r="G6" s="498" t="s">
        <v>628</v>
      </c>
      <c r="H6" s="499"/>
      <c r="I6" s="499"/>
      <c r="J6" s="192">
        <f>'Linea de impulsión'!D27</f>
        <v>0.65876514574120215</v>
      </c>
      <c r="K6" s="35" t="s">
        <v>0</v>
      </c>
      <c r="L6" s="82"/>
      <c r="M6" s="82"/>
      <c r="N6" s="328"/>
    </row>
    <row r="7" spans="1:28" ht="15" customHeight="1">
      <c r="A7" s="327"/>
      <c r="C7" s="146" t="s">
        <v>275</v>
      </c>
      <c r="D7" s="192">
        <f>'Datos de entrada'!F11-'Pozo humedo'!D17</f>
        <v>4.8500000000000014</v>
      </c>
      <c r="E7" s="147" t="s">
        <v>0</v>
      </c>
      <c r="F7" s="82"/>
      <c r="G7" s="498" t="s">
        <v>629</v>
      </c>
      <c r="H7" s="499"/>
      <c r="I7" s="499"/>
      <c r="J7" s="192">
        <f>'Linea de impulsión'!H24</f>
        <v>1.0138713652268347</v>
      </c>
      <c r="K7" s="340" t="s">
        <v>0</v>
      </c>
      <c r="L7" s="82"/>
      <c r="M7" s="82"/>
      <c r="N7" s="328"/>
    </row>
    <row r="8" spans="1:28" ht="15.75" thickBot="1">
      <c r="A8" s="327"/>
      <c r="C8" s="90" t="s">
        <v>274</v>
      </c>
      <c r="D8" s="188">
        <f>D7+'Linea de impulsión'!D29+'Linea de impulsión'!H29</f>
        <v>7.1316940630021595</v>
      </c>
      <c r="E8" s="92" t="s">
        <v>0</v>
      </c>
      <c r="F8" s="82"/>
      <c r="G8" s="511" t="s">
        <v>630</v>
      </c>
      <c r="H8" s="512"/>
      <c r="I8" s="512"/>
      <c r="J8" s="341">
        <f>'Linea de impulsión'!H27</f>
        <v>0.36307602829651825</v>
      </c>
      <c r="K8" s="92" t="s">
        <v>0</v>
      </c>
      <c r="L8" s="82"/>
      <c r="M8" s="82"/>
      <c r="N8" s="328"/>
    </row>
    <row r="9" spans="1:28" ht="15.75" thickBot="1">
      <c r="A9" s="327"/>
      <c r="C9" s="82"/>
      <c r="D9" s="81"/>
      <c r="E9" s="82"/>
      <c r="F9" s="82"/>
      <c r="G9" s="82"/>
      <c r="H9" s="82"/>
      <c r="I9" s="82"/>
      <c r="J9" s="82"/>
      <c r="K9" s="82"/>
      <c r="L9" s="82"/>
      <c r="M9" s="82"/>
      <c r="N9" s="328"/>
    </row>
    <row r="10" spans="1:28" ht="18" thickBot="1">
      <c r="A10" s="327"/>
      <c r="C10" s="517" t="s">
        <v>473</v>
      </c>
      <c r="D10" s="518"/>
      <c r="E10" s="519"/>
      <c r="F10" s="82"/>
      <c r="G10" s="486" t="s">
        <v>631</v>
      </c>
      <c r="H10" s="487"/>
      <c r="I10" s="487"/>
      <c r="J10" s="197">
        <f>VLOOKUP('Linea de impulsión'!D7,'Prop. Agua'!$A$3:$B$16,2,FALSE)</f>
        <v>9.798</v>
      </c>
      <c r="K10" s="349" t="s">
        <v>632</v>
      </c>
      <c r="L10" s="82"/>
      <c r="M10" s="82"/>
      <c r="N10" s="328"/>
    </row>
    <row r="11" spans="1:28" ht="15.75" thickBot="1">
      <c r="A11" s="327"/>
      <c r="C11" s="88"/>
      <c r="D11" s="89"/>
      <c r="E11" s="80"/>
      <c r="F11" s="82"/>
      <c r="G11" s="511" t="s">
        <v>475</v>
      </c>
      <c r="H11" s="512"/>
      <c r="I11" s="512"/>
      <c r="J11" s="341">
        <f>J10*(Q/3600)*H</f>
        <v>0.38820188016275087</v>
      </c>
      <c r="K11" s="350" t="s">
        <v>448</v>
      </c>
      <c r="L11" s="82"/>
      <c r="M11" s="82"/>
      <c r="N11" s="328"/>
    </row>
    <row r="12" spans="1:28" ht="15.75" thickBot="1">
      <c r="A12" s="327"/>
      <c r="C12" s="84"/>
      <c r="D12" s="81"/>
      <c r="E12" s="86"/>
      <c r="F12" s="82"/>
      <c r="G12" s="82"/>
      <c r="H12" s="36"/>
      <c r="I12" s="82"/>
      <c r="J12" s="82"/>
      <c r="K12" s="82"/>
      <c r="L12" s="82"/>
      <c r="M12" s="82"/>
      <c r="N12" s="328"/>
    </row>
    <row r="13" spans="1:28" ht="20.25" thickTop="1" thickBot="1">
      <c r="A13" s="327"/>
      <c r="C13" s="520" t="s">
        <v>276</v>
      </c>
      <c r="D13" s="521"/>
      <c r="E13" s="303">
        <f>COUNTIF('Base de datos'!W:W,"OK")</f>
        <v>19</v>
      </c>
      <c r="F13" s="82"/>
      <c r="G13" s="533"/>
      <c r="H13" s="534"/>
      <c r="I13" s="534"/>
      <c r="J13" s="534"/>
      <c r="K13" s="372"/>
      <c r="L13" s="82"/>
      <c r="M13" s="82"/>
      <c r="N13" s="328"/>
      <c r="P13" s="522" t="s">
        <v>471</v>
      </c>
      <c r="Q13" s="523"/>
      <c r="R13" s="523"/>
      <c r="S13" s="523"/>
      <c r="T13" s="523"/>
      <c r="U13" s="523"/>
      <c r="V13" s="523"/>
      <c r="W13" s="335" t="str">
        <f>IFERROR(VLOOKUP("X",$B$17:$M$56,2,FALSE),"")</f>
        <v>DRV/A50-155-1.8M</v>
      </c>
      <c r="X13" s="335"/>
      <c r="Y13" s="335"/>
      <c r="Z13" s="335"/>
      <c r="AA13" s="336"/>
      <c r="AB13" s="306"/>
    </row>
    <row r="14" spans="1:28" s="82" customFormat="1" ht="16.5" thickBot="1">
      <c r="A14" s="327"/>
      <c r="B14" s="81"/>
      <c r="C14" s="14"/>
      <c r="D14" s="14"/>
      <c r="E14" s="14"/>
      <c r="N14" s="328"/>
      <c r="P14" s="327"/>
      <c r="AA14" s="328"/>
    </row>
    <row r="15" spans="1:28">
      <c r="A15" s="327"/>
      <c r="B15" s="529" t="s">
        <v>454</v>
      </c>
      <c r="C15" s="531" t="s">
        <v>426</v>
      </c>
      <c r="D15" s="527" t="s">
        <v>423</v>
      </c>
      <c r="E15" s="302" t="s">
        <v>472</v>
      </c>
      <c r="F15" s="527" t="s">
        <v>422</v>
      </c>
      <c r="G15" s="302" t="s">
        <v>424</v>
      </c>
      <c r="H15" s="527" t="s">
        <v>421</v>
      </c>
      <c r="I15" s="302" t="s">
        <v>41</v>
      </c>
      <c r="J15" s="302" t="s">
        <v>420</v>
      </c>
      <c r="K15" s="302" t="s">
        <v>419</v>
      </c>
      <c r="L15" s="302" t="s">
        <v>425</v>
      </c>
      <c r="M15" s="304" t="s">
        <v>418</v>
      </c>
      <c r="N15" s="329"/>
      <c r="P15" s="327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328"/>
      <c r="AB15" s="82"/>
    </row>
    <row r="16" spans="1:28" ht="15.75" thickBot="1">
      <c r="A16" s="327"/>
      <c r="B16" s="530"/>
      <c r="C16" s="532"/>
      <c r="D16" s="528"/>
      <c r="E16" s="478" t="s">
        <v>309</v>
      </c>
      <c r="F16" s="528"/>
      <c r="G16" s="478" t="s">
        <v>310</v>
      </c>
      <c r="H16" s="528"/>
      <c r="I16" s="478" t="s">
        <v>314</v>
      </c>
      <c r="J16" s="478" t="s">
        <v>315</v>
      </c>
      <c r="K16" s="478" t="s">
        <v>309</v>
      </c>
      <c r="L16" s="478" t="s">
        <v>309</v>
      </c>
      <c r="M16" s="479" t="s">
        <v>323</v>
      </c>
      <c r="N16" s="328"/>
      <c r="P16" s="327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328"/>
      <c r="AB16" s="82"/>
    </row>
    <row r="17" spans="1:27" ht="15.95" customHeight="1">
      <c r="A17" s="327"/>
      <c r="B17" s="346" t="s">
        <v>622</v>
      </c>
      <c r="C17" s="290" t="s">
        <v>161</v>
      </c>
      <c r="D17" s="290" t="s">
        <v>152</v>
      </c>
      <c r="E17" s="290">
        <v>50</v>
      </c>
      <c r="F17" s="290" t="s">
        <v>321</v>
      </c>
      <c r="G17" s="290">
        <v>50</v>
      </c>
      <c r="H17" s="290" t="s">
        <v>318</v>
      </c>
      <c r="I17" s="290">
        <v>1.8</v>
      </c>
      <c r="J17" s="290">
        <v>2900</v>
      </c>
      <c r="K17" s="290">
        <v>339</v>
      </c>
      <c r="L17" s="290">
        <v>110</v>
      </c>
      <c r="M17" s="291">
        <v>74.552999999999997</v>
      </c>
      <c r="N17" s="328"/>
      <c r="P17" s="327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328"/>
    </row>
    <row r="18" spans="1:27" ht="15.95" customHeight="1">
      <c r="A18" s="327"/>
      <c r="B18" s="347"/>
      <c r="C18" s="87" t="s">
        <v>160</v>
      </c>
      <c r="D18" s="87" t="s">
        <v>152</v>
      </c>
      <c r="E18" s="87">
        <v>50</v>
      </c>
      <c r="F18" s="87" t="s">
        <v>321</v>
      </c>
      <c r="G18" s="87">
        <v>50</v>
      </c>
      <c r="H18" s="87" t="s">
        <v>318</v>
      </c>
      <c r="I18" s="87">
        <v>1.8</v>
      </c>
      <c r="J18" s="87">
        <v>2900</v>
      </c>
      <c r="K18" s="87">
        <v>339</v>
      </c>
      <c r="L18" s="87">
        <v>110</v>
      </c>
      <c r="M18" s="155">
        <v>69.257999999999996</v>
      </c>
      <c r="N18" s="328"/>
      <c r="P18" s="327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328"/>
    </row>
    <row r="19" spans="1:27" ht="15.95" customHeight="1">
      <c r="A19" s="327"/>
      <c r="B19" s="347"/>
      <c r="C19" s="87" t="s">
        <v>162</v>
      </c>
      <c r="D19" s="87" t="s">
        <v>152</v>
      </c>
      <c r="E19" s="87">
        <v>50</v>
      </c>
      <c r="F19" s="87" t="s">
        <v>321</v>
      </c>
      <c r="G19" s="87">
        <v>50</v>
      </c>
      <c r="H19" s="87" t="s">
        <v>319</v>
      </c>
      <c r="I19" s="87">
        <v>1.4</v>
      </c>
      <c r="J19" s="87">
        <v>2900</v>
      </c>
      <c r="K19" s="87">
        <v>339</v>
      </c>
      <c r="L19" s="87">
        <v>110</v>
      </c>
      <c r="M19" s="155">
        <v>69.257999999999996</v>
      </c>
      <c r="N19" s="328"/>
      <c r="P19" s="327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328"/>
    </row>
    <row r="20" spans="1:27" ht="15.95" customHeight="1">
      <c r="A20" s="327"/>
      <c r="B20" s="347"/>
      <c r="C20" s="87" t="s">
        <v>166</v>
      </c>
      <c r="D20" s="87" t="s">
        <v>152</v>
      </c>
      <c r="E20" s="87">
        <v>65</v>
      </c>
      <c r="F20" s="87" t="s">
        <v>321</v>
      </c>
      <c r="G20" s="87">
        <v>65</v>
      </c>
      <c r="H20" s="87" t="s">
        <v>319</v>
      </c>
      <c r="I20" s="87">
        <v>2.2999999999999998</v>
      </c>
      <c r="J20" s="87">
        <v>2900</v>
      </c>
      <c r="K20" s="87">
        <v>367</v>
      </c>
      <c r="L20" s="87">
        <v>110</v>
      </c>
      <c r="M20" s="155">
        <v>66.082999999999998</v>
      </c>
      <c r="N20" s="328"/>
      <c r="P20" s="327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328"/>
    </row>
    <row r="21" spans="1:27" ht="15.95" customHeight="1">
      <c r="A21" s="327"/>
      <c r="B21" s="347"/>
      <c r="C21" s="87" t="s">
        <v>142</v>
      </c>
      <c r="D21" s="87" t="s">
        <v>127</v>
      </c>
      <c r="E21" s="87">
        <v>62</v>
      </c>
      <c r="F21" s="87" t="s">
        <v>321</v>
      </c>
      <c r="G21" s="87">
        <v>65</v>
      </c>
      <c r="H21" s="87" t="s">
        <v>319</v>
      </c>
      <c r="I21" s="87">
        <v>1.4</v>
      </c>
      <c r="J21" s="87">
        <v>2900</v>
      </c>
      <c r="K21" s="87">
        <v>400</v>
      </c>
      <c r="L21" s="87">
        <v>110</v>
      </c>
      <c r="M21" s="155">
        <v>65.769000000000005</v>
      </c>
      <c r="N21" s="328"/>
      <c r="P21" s="327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328"/>
    </row>
    <row r="22" spans="1:27" ht="15.95" customHeight="1">
      <c r="A22" s="327"/>
      <c r="B22" s="347"/>
      <c r="C22" s="87" t="s">
        <v>118</v>
      </c>
      <c r="D22" s="87" t="s">
        <v>98</v>
      </c>
      <c r="E22" s="87">
        <v>25</v>
      </c>
      <c r="F22" s="87" t="s">
        <v>321</v>
      </c>
      <c r="G22" s="87">
        <v>50</v>
      </c>
      <c r="H22" s="87" t="s">
        <v>319</v>
      </c>
      <c r="I22" s="87">
        <v>1</v>
      </c>
      <c r="J22" s="87">
        <v>2850</v>
      </c>
      <c r="K22" s="87">
        <v>297</v>
      </c>
      <c r="L22" s="87">
        <v>110</v>
      </c>
      <c r="M22" s="155">
        <v>65.504000000000005</v>
      </c>
      <c r="N22" s="328"/>
      <c r="P22" s="327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328"/>
    </row>
    <row r="23" spans="1:27" ht="15.95" customHeight="1">
      <c r="A23" s="327"/>
      <c r="B23" s="347"/>
      <c r="C23" s="87" t="s">
        <v>82</v>
      </c>
      <c r="D23" s="87" t="s">
        <v>75</v>
      </c>
      <c r="E23" s="87">
        <v>60</v>
      </c>
      <c r="F23" s="87" t="s">
        <v>320</v>
      </c>
      <c r="G23" s="87">
        <v>65</v>
      </c>
      <c r="H23" s="87" t="s">
        <v>319</v>
      </c>
      <c r="I23" s="87">
        <v>1.3</v>
      </c>
      <c r="J23" s="87">
        <v>1450</v>
      </c>
      <c r="K23" s="87">
        <v>348</v>
      </c>
      <c r="L23" s="87">
        <v>186</v>
      </c>
      <c r="M23" s="155">
        <v>64.158999999999992</v>
      </c>
      <c r="N23" s="328"/>
      <c r="P23" s="327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328"/>
    </row>
    <row r="24" spans="1:27" ht="15.95" customHeight="1">
      <c r="A24" s="327"/>
      <c r="B24" s="347"/>
      <c r="C24" s="87" t="s">
        <v>147</v>
      </c>
      <c r="D24" s="87" t="s">
        <v>127</v>
      </c>
      <c r="E24" s="87">
        <v>67</v>
      </c>
      <c r="F24" s="87" t="s">
        <v>321</v>
      </c>
      <c r="G24" s="87">
        <v>80</v>
      </c>
      <c r="H24" s="87" t="s">
        <v>319</v>
      </c>
      <c r="I24" s="87">
        <v>2.2999999999999998</v>
      </c>
      <c r="J24" s="87">
        <v>2900</v>
      </c>
      <c r="K24" s="87">
        <v>400</v>
      </c>
      <c r="L24" s="87">
        <v>110</v>
      </c>
      <c r="M24" s="155">
        <v>64.106999999999999</v>
      </c>
      <c r="N24" s="328"/>
      <c r="P24" s="327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328"/>
    </row>
    <row r="25" spans="1:27" ht="15.95" customHeight="1">
      <c r="A25" s="327"/>
      <c r="B25" s="347"/>
      <c r="C25" s="87" t="s">
        <v>133</v>
      </c>
      <c r="D25" s="87" t="s">
        <v>127</v>
      </c>
      <c r="E25" s="87">
        <v>38</v>
      </c>
      <c r="F25" s="87" t="s">
        <v>317</v>
      </c>
      <c r="G25" s="87">
        <v>50</v>
      </c>
      <c r="H25" s="87" t="s">
        <v>318</v>
      </c>
      <c r="I25" s="87">
        <v>1.1000000000000001</v>
      </c>
      <c r="J25" s="87">
        <v>2900</v>
      </c>
      <c r="K25" s="87">
        <v>400</v>
      </c>
      <c r="L25" s="87">
        <v>110</v>
      </c>
      <c r="M25" s="155">
        <v>62.569000000000003</v>
      </c>
      <c r="N25" s="328"/>
      <c r="P25" s="327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328"/>
    </row>
    <row r="26" spans="1:27" ht="15.95" customHeight="1">
      <c r="A26" s="327"/>
      <c r="B26" s="347"/>
      <c r="C26" s="87" t="s">
        <v>93</v>
      </c>
      <c r="D26" s="87" t="s">
        <v>75</v>
      </c>
      <c r="E26" s="87">
        <v>30</v>
      </c>
      <c r="F26" s="87" t="s">
        <v>320</v>
      </c>
      <c r="G26" s="87">
        <v>80</v>
      </c>
      <c r="H26" s="87" t="s">
        <v>318</v>
      </c>
      <c r="I26" s="87">
        <v>1.2</v>
      </c>
      <c r="J26" s="87">
        <v>2900</v>
      </c>
      <c r="K26" s="87">
        <v>305</v>
      </c>
      <c r="L26" s="87">
        <v>118</v>
      </c>
      <c r="M26" s="155">
        <v>62.511000000000003</v>
      </c>
      <c r="N26" s="328"/>
      <c r="P26" s="327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328"/>
    </row>
    <row r="27" spans="1:27" ht="15.95" customHeight="1">
      <c r="A27" s="327"/>
      <c r="B27" s="347"/>
      <c r="C27" s="87" t="s">
        <v>113</v>
      </c>
      <c r="D27" s="87" t="s">
        <v>98</v>
      </c>
      <c r="E27" s="87">
        <v>50</v>
      </c>
      <c r="F27" s="87" t="s">
        <v>321</v>
      </c>
      <c r="G27" s="87">
        <v>80</v>
      </c>
      <c r="H27" s="87" t="s">
        <v>319</v>
      </c>
      <c r="I27" s="87">
        <v>1</v>
      </c>
      <c r="J27" s="87">
        <v>1450</v>
      </c>
      <c r="K27" s="87">
        <v>420</v>
      </c>
      <c r="L27" s="87">
        <v>110</v>
      </c>
      <c r="M27" s="155">
        <v>61.814999999999998</v>
      </c>
      <c r="N27" s="328"/>
      <c r="P27" s="327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328"/>
    </row>
    <row r="28" spans="1:27" ht="15.95" customHeight="1">
      <c r="A28" s="327"/>
      <c r="B28" s="347"/>
      <c r="C28" s="87" t="s">
        <v>101</v>
      </c>
      <c r="D28" s="87" t="s">
        <v>98</v>
      </c>
      <c r="E28" s="87">
        <v>50</v>
      </c>
      <c r="F28" s="87" t="s">
        <v>317</v>
      </c>
      <c r="G28" s="87">
        <v>50</v>
      </c>
      <c r="H28" s="87" t="s">
        <v>319</v>
      </c>
      <c r="I28" s="87">
        <v>1.3</v>
      </c>
      <c r="J28" s="87">
        <v>2850</v>
      </c>
      <c r="K28" s="87">
        <v>339</v>
      </c>
      <c r="L28" s="87">
        <v>110</v>
      </c>
      <c r="M28" s="155">
        <v>54.322000000000003</v>
      </c>
      <c r="N28" s="328"/>
      <c r="P28" s="327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328"/>
    </row>
    <row r="29" spans="1:27" ht="15.95" customHeight="1">
      <c r="A29" s="327"/>
      <c r="B29" s="347"/>
      <c r="C29" s="87" t="s">
        <v>94</v>
      </c>
      <c r="D29" s="87" t="s">
        <v>75</v>
      </c>
      <c r="E29" s="87">
        <v>30</v>
      </c>
      <c r="F29" s="87" t="s">
        <v>320</v>
      </c>
      <c r="G29" s="87">
        <v>80</v>
      </c>
      <c r="H29" s="87" t="s">
        <v>319</v>
      </c>
      <c r="I29" s="87">
        <v>1.2</v>
      </c>
      <c r="J29" s="87">
        <v>2900</v>
      </c>
      <c r="K29" s="87">
        <v>305</v>
      </c>
      <c r="L29" s="87">
        <v>118</v>
      </c>
      <c r="M29" s="155">
        <v>52.511000000000003</v>
      </c>
      <c r="N29" s="328"/>
      <c r="P29" s="327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328"/>
    </row>
    <row r="30" spans="1:27" ht="15.95" customHeight="1">
      <c r="A30" s="327"/>
      <c r="B30" s="347"/>
      <c r="C30" s="87" t="s">
        <v>111</v>
      </c>
      <c r="D30" s="87" t="s">
        <v>98</v>
      </c>
      <c r="E30" s="87">
        <v>50</v>
      </c>
      <c r="F30" s="87" t="s">
        <v>317</v>
      </c>
      <c r="G30" s="87">
        <v>65</v>
      </c>
      <c r="H30" s="87" t="s">
        <v>319</v>
      </c>
      <c r="I30" s="87">
        <v>1.2</v>
      </c>
      <c r="J30" s="87">
        <v>1450</v>
      </c>
      <c r="K30" s="87">
        <v>383</v>
      </c>
      <c r="L30" s="87">
        <v>110</v>
      </c>
      <c r="M30" s="155">
        <v>52.108999999999995</v>
      </c>
      <c r="N30" s="328"/>
      <c r="P30" s="327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328"/>
    </row>
    <row r="31" spans="1:27" ht="15.95" customHeight="1">
      <c r="A31" s="327"/>
      <c r="B31" s="347"/>
      <c r="C31" s="87" t="s">
        <v>180</v>
      </c>
      <c r="D31" s="87" t="s">
        <v>152</v>
      </c>
      <c r="E31" s="87">
        <v>50</v>
      </c>
      <c r="F31" s="87" t="s">
        <v>321</v>
      </c>
      <c r="G31" s="87">
        <v>65</v>
      </c>
      <c r="H31" s="87" t="s">
        <v>319</v>
      </c>
      <c r="I31" s="87">
        <v>1.3</v>
      </c>
      <c r="J31" s="87">
        <v>2900</v>
      </c>
      <c r="K31" s="87">
        <v>383</v>
      </c>
      <c r="L31" s="87">
        <v>110</v>
      </c>
      <c r="M31" s="155">
        <v>51.445999999999998</v>
      </c>
      <c r="N31" s="328"/>
      <c r="P31" s="327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328"/>
    </row>
    <row r="32" spans="1:27" ht="15.95" customHeight="1">
      <c r="A32" s="327"/>
      <c r="B32" s="347"/>
      <c r="C32" s="87" t="s">
        <v>184</v>
      </c>
      <c r="D32" s="87" t="s">
        <v>152</v>
      </c>
      <c r="E32" s="87">
        <v>50</v>
      </c>
      <c r="F32" s="87" t="s">
        <v>321</v>
      </c>
      <c r="G32" s="87">
        <v>80</v>
      </c>
      <c r="H32" s="87" t="s">
        <v>319</v>
      </c>
      <c r="I32" s="87">
        <v>1.4</v>
      </c>
      <c r="J32" s="87">
        <v>2900</v>
      </c>
      <c r="K32" s="87">
        <v>418</v>
      </c>
      <c r="L32" s="87">
        <v>110</v>
      </c>
      <c r="M32" s="155">
        <v>51.011799999999987</v>
      </c>
      <c r="N32" s="328"/>
      <c r="P32" s="327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328"/>
    </row>
    <row r="33" spans="1:27" ht="15.95" customHeight="1">
      <c r="A33" s="327"/>
      <c r="B33" s="347"/>
      <c r="C33" s="87" t="s">
        <v>177</v>
      </c>
      <c r="D33" s="87" t="s">
        <v>152</v>
      </c>
      <c r="E33" s="87">
        <v>50</v>
      </c>
      <c r="F33" s="87" t="s">
        <v>321</v>
      </c>
      <c r="G33" s="87">
        <v>65</v>
      </c>
      <c r="H33" s="87" t="s">
        <v>318</v>
      </c>
      <c r="I33" s="87">
        <v>1.2</v>
      </c>
      <c r="J33" s="87">
        <v>2900</v>
      </c>
      <c r="K33" s="87">
        <v>383</v>
      </c>
      <c r="L33" s="87">
        <v>110</v>
      </c>
      <c r="M33" s="155">
        <v>50.667599999999993</v>
      </c>
      <c r="N33" s="328"/>
      <c r="P33" s="327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328"/>
    </row>
    <row r="34" spans="1:27" ht="15.95" customHeight="1">
      <c r="A34" s="327"/>
      <c r="B34" s="347"/>
      <c r="C34" s="87" t="s">
        <v>183</v>
      </c>
      <c r="D34" s="87" t="s">
        <v>152</v>
      </c>
      <c r="E34" s="87">
        <v>50</v>
      </c>
      <c r="F34" s="87" t="s">
        <v>321</v>
      </c>
      <c r="G34" s="87">
        <v>80</v>
      </c>
      <c r="H34" s="87" t="s">
        <v>318</v>
      </c>
      <c r="I34" s="87">
        <v>1.2</v>
      </c>
      <c r="J34" s="87">
        <v>2900</v>
      </c>
      <c r="K34" s="87">
        <v>418</v>
      </c>
      <c r="L34" s="87">
        <v>110</v>
      </c>
      <c r="M34" s="155">
        <v>50.499699999999997</v>
      </c>
      <c r="N34" s="328"/>
      <c r="P34" s="327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328"/>
    </row>
    <row r="35" spans="1:27" ht="15.95" customHeight="1">
      <c r="A35" s="327"/>
      <c r="B35" s="347"/>
      <c r="C35" s="87" t="s">
        <v>91</v>
      </c>
      <c r="D35" s="87" t="s">
        <v>75</v>
      </c>
      <c r="E35" s="87">
        <v>60</v>
      </c>
      <c r="F35" s="87" t="s">
        <v>320</v>
      </c>
      <c r="G35" s="87">
        <v>80</v>
      </c>
      <c r="H35" s="87" t="s">
        <v>319</v>
      </c>
      <c r="I35" s="87">
        <v>1.3</v>
      </c>
      <c r="J35" s="87">
        <v>1450</v>
      </c>
      <c r="K35" s="87">
        <v>305</v>
      </c>
      <c r="L35" s="87">
        <v>186</v>
      </c>
      <c r="M35" s="155">
        <v>48.78</v>
      </c>
      <c r="N35" s="328"/>
      <c r="P35" s="327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328"/>
    </row>
    <row r="36" spans="1:27" ht="15.95" customHeight="1">
      <c r="A36" s="327"/>
      <c r="B36" s="34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155"/>
      <c r="N36" s="328"/>
      <c r="O36" s="82"/>
      <c r="P36" s="327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328"/>
    </row>
    <row r="37" spans="1:27" ht="15.95" customHeight="1">
      <c r="A37" s="327"/>
      <c r="B37" s="34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155"/>
      <c r="N37" s="328"/>
      <c r="O37" s="82"/>
      <c r="P37" s="327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328"/>
    </row>
    <row r="38" spans="1:27" ht="15.95" customHeight="1">
      <c r="A38" s="327"/>
      <c r="B38" s="34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155"/>
      <c r="N38" s="328"/>
      <c r="O38" s="82"/>
      <c r="P38" s="327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328"/>
    </row>
    <row r="39" spans="1:27" ht="15.95" customHeight="1">
      <c r="A39" s="327"/>
      <c r="B39" s="34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155"/>
      <c r="N39" s="328"/>
      <c r="O39" s="82"/>
      <c r="P39" s="327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328"/>
    </row>
    <row r="40" spans="1:27" ht="15.95" customHeight="1">
      <c r="A40" s="327"/>
      <c r="B40" s="34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155"/>
      <c r="N40" s="328"/>
      <c r="P40" s="327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328"/>
    </row>
    <row r="41" spans="1:27" ht="15.95" customHeight="1">
      <c r="A41" s="327"/>
      <c r="B41" s="34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155"/>
      <c r="N41" s="328"/>
      <c r="P41" s="327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328"/>
    </row>
    <row r="42" spans="1:27" ht="15.95" customHeight="1" thickBot="1">
      <c r="A42" s="327"/>
      <c r="B42" s="34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155"/>
      <c r="N42" s="328"/>
      <c r="P42" s="330"/>
      <c r="Q42" s="332"/>
      <c r="R42" s="332"/>
      <c r="S42" s="332"/>
      <c r="T42" s="332"/>
      <c r="U42" s="332"/>
      <c r="V42" s="332"/>
      <c r="W42" s="332"/>
      <c r="X42" s="332"/>
      <c r="Y42" s="332"/>
      <c r="Z42" s="332"/>
      <c r="AA42" s="333"/>
    </row>
    <row r="43" spans="1:27" ht="15.95" customHeight="1" thickTop="1">
      <c r="A43" s="327"/>
      <c r="B43" s="34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155"/>
      <c r="N43" s="328"/>
    </row>
    <row r="44" spans="1:27" ht="15.95" customHeight="1">
      <c r="A44" s="327"/>
      <c r="B44" s="34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155"/>
      <c r="N44" s="328"/>
    </row>
    <row r="45" spans="1:27" ht="15.95" customHeight="1">
      <c r="A45" s="327"/>
      <c r="B45" s="34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155"/>
      <c r="N45" s="328"/>
    </row>
    <row r="46" spans="1:27" ht="15.95" customHeight="1">
      <c r="A46" s="327"/>
      <c r="B46" s="34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155"/>
      <c r="N46" s="328"/>
    </row>
    <row r="47" spans="1:27" ht="15.95" customHeight="1">
      <c r="A47" s="327"/>
      <c r="B47" s="34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155"/>
      <c r="N47" s="328"/>
    </row>
    <row r="48" spans="1:27" ht="15.95" customHeight="1">
      <c r="A48" s="327"/>
      <c r="B48" s="34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155"/>
      <c r="N48" s="328"/>
    </row>
    <row r="49" spans="1:14" ht="15.95" customHeight="1">
      <c r="A49" s="327"/>
      <c r="B49" s="34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155"/>
      <c r="N49" s="328"/>
    </row>
    <row r="50" spans="1:14" ht="15.95" customHeight="1">
      <c r="A50" s="327"/>
      <c r="B50" s="34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155"/>
      <c r="N50" s="328"/>
    </row>
    <row r="51" spans="1:14" ht="15.95" customHeight="1">
      <c r="A51" s="327"/>
      <c r="B51" s="34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155"/>
      <c r="N51" s="328"/>
    </row>
    <row r="52" spans="1:14" ht="15.95" customHeight="1">
      <c r="A52" s="327"/>
      <c r="B52" s="34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155"/>
      <c r="N52" s="328"/>
    </row>
    <row r="53" spans="1:14" ht="15.95" customHeight="1">
      <c r="A53" s="327"/>
      <c r="B53" s="34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155"/>
      <c r="N53" s="328"/>
    </row>
    <row r="54" spans="1:14" ht="15.95" customHeight="1">
      <c r="A54" s="327"/>
      <c r="B54" s="34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155"/>
      <c r="N54" s="328"/>
    </row>
    <row r="55" spans="1:14" ht="15.95" customHeight="1">
      <c r="A55" s="327"/>
      <c r="B55" s="34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155"/>
      <c r="N55" s="328"/>
    </row>
    <row r="56" spans="1:14" ht="15.95" customHeight="1" thickBot="1">
      <c r="A56" s="327"/>
      <c r="B56" s="348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326"/>
      <c r="N56" s="328"/>
    </row>
    <row r="57" spans="1:14" ht="15.75" thickBot="1">
      <c r="A57" s="330"/>
      <c r="B57" s="331"/>
      <c r="C57" s="332"/>
      <c r="D57" s="331"/>
      <c r="E57" s="332"/>
      <c r="F57" s="332"/>
      <c r="G57" s="332"/>
      <c r="H57" s="332"/>
      <c r="I57" s="332"/>
      <c r="J57" s="332"/>
      <c r="K57" s="332"/>
      <c r="L57" s="332"/>
      <c r="M57" s="332"/>
      <c r="N57" s="333"/>
    </row>
    <row r="58" spans="1:14" ht="15.75" thickTop="1">
      <c r="C58" s="82"/>
    </row>
    <row r="59" spans="1:14">
      <c r="C59" s="82"/>
    </row>
    <row r="60" spans="1:14">
      <c r="C60" s="82"/>
    </row>
    <row r="61" spans="1:14">
      <c r="C61" s="82"/>
    </row>
    <row r="62" spans="1:14">
      <c r="C62" s="82"/>
    </row>
    <row r="63" spans="1:14">
      <c r="C63" s="82"/>
    </row>
    <row r="64" spans="1:14">
      <c r="C64" s="82"/>
    </row>
    <row r="65" spans="3:3">
      <c r="C65" s="82"/>
    </row>
    <row r="66" spans="3:3">
      <c r="C66" s="82"/>
    </row>
    <row r="67" spans="3:3">
      <c r="C67" s="82"/>
    </row>
    <row r="68" spans="3:3">
      <c r="C68" s="82"/>
    </row>
    <row r="69" spans="3:3">
      <c r="C69" s="82"/>
    </row>
    <row r="70" spans="3:3">
      <c r="C70" s="82"/>
    </row>
    <row r="71" spans="3:3">
      <c r="C71" s="82"/>
    </row>
    <row r="72" spans="3:3">
      <c r="C72" s="82"/>
    </row>
    <row r="73" spans="3:3">
      <c r="C73" s="82"/>
    </row>
    <row r="74" spans="3:3">
      <c r="C74" s="82"/>
    </row>
    <row r="75" spans="3:3">
      <c r="C75" s="82"/>
    </row>
    <row r="76" spans="3:3">
      <c r="C76" s="82"/>
    </row>
    <row r="77" spans="3:3">
      <c r="C77" s="82"/>
    </row>
    <row r="78" spans="3:3">
      <c r="C78" s="82"/>
    </row>
    <row r="79" spans="3:3">
      <c r="C79" s="82"/>
    </row>
    <row r="80" spans="3:3">
      <c r="C80" s="82"/>
    </row>
    <row r="81" spans="3:3">
      <c r="C81" s="82"/>
    </row>
    <row r="82" spans="3:3">
      <c r="C82" s="82"/>
    </row>
    <row r="83" spans="3:3">
      <c r="C83" s="82"/>
    </row>
    <row r="84" spans="3:3">
      <c r="C84" s="82"/>
    </row>
    <row r="85" spans="3:3">
      <c r="C85" s="82"/>
    </row>
    <row r="86" spans="3:3">
      <c r="C86" s="82"/>
    </row>
    <row r="87" spans="3:3">
      <c r="C87" s="82"/>
    </row>
    <row r="88" spans="3:3">
      <c r="C88" s="82"/>
    </row>
    <row r="89" spans="3:3">
      <c r="C89" s="82"/>
    </row>
    <row r="90" spans="3:3">
      <c r="C90" s="82"/>
    </row>
    <row r="91" spans="3:3">
      <c r="C91" s="82"/>
    </row>
    <row r="92" spans="3:3">
      <c r="C92" s="82"/>
    </row>
    <row r="93" spans="3:3">
      <c r="C93" s="82"/>
    </row>
    <row r="94" spans="3:3">
      <c r="C94" s="82"/>
    </row>
    <row r="95" spans="3:3">
      <c r="C95" s="82"/>
    </row>
    <row r="96" spans="3:3">
      <c r="C96" s="82"/>
    </row>
    <row r="97" spans="3:3">
      <c r="C97" s="82"/>
    </row>
    <row r="98" spans="3:3">
      <c r="C98" s="82"/>
    </row>
    <row r="99" spans="3:3">
      <c r="C99" s="82"/>
    </row>
    <row r="100" spans="3:3">
      <c r="C100" s="82"/>
    </row>
    <row r="101" spans="3:3">
      <c r="C101" s="82"/>
    </row>
    <row r="102" spans="3:3">
      <c r="C102" s="82"/>
    </row>
  </sheetData>
  <sortState ref="C17:M35">
    <sortCondition descending="1" ref="M17:M56"/>
  </sortState>
  <mergeCells count="17">
    <mergeCell ref="P13:V13"/>
    <mergeCell ref="H15:H16"/>
    <mergeCell ref="B15:B16"/>
    <mergeCell ref="C15:C16"/>
    <mergeCell ref="D15:D16"/>
    <mergeCell ref="F15:F16"/>
    <mergeCell ref="G13:J13"/>
    <mergeCell ref="C10:E10"/>
    <mergeCell ref="C13:D13"/>
    <mergeCell ref="A2:N2"/>
    <mergeCell ref="G5:I5"/>
    <mergeCell ref="G6:I6"/>
    <mergeCell ref="G7:I7"/>
    <mergeCell ref="G8:I8"/>
    <mergeCell ref="C4:K4"/>
    <mergeCell ref="G10:I10"/>
    <mergeCell ref="G11:I11"/>
  </mergeCells>
  <pageMargins left="0.7" right="0.7" top="0.75" bottom="0.75" header="0.3" footer="0.3"/>
  <drawing r:id="rId1"/>
  <legacyDrawing r:id="rId2"/>
  <controls>
    <control shapeId="3073" r:id="rId3" name="CommandButton1"/>
  </controls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6">
    <tabColor rgb="FF00B0F0"/>
  </sheetPr>
  <dimension ref="B1:J31"/>
  <sheetViews>
    <sheetView topLeftCell="A7" workbookViewId="0">
      <selection activeCell="G7" sqref="G7"/>
    </sheetView>
  </sheetViews>
  <sheetFormatPr baseColWidth="10" defaultRowHeight="15"/>
  <cols>
    <col min="1" max="2" width="5.7109375" style="34" customWidth="1"/>
    <col min="3" max="3" width="24.42578125" style="34" bestFit="1" customWidth="1"/>
    <col min="4" max="4" width="9.28515625" style="34" bestFit="1" customWidth="1"/>
    <col min="5" max="5" width="6.85546875" style="34" customWidth="1"/>
    <col min="6" max="6" width="5.7109375" style="34" customWidth="1"/>
    <col min="7" max="7" width="24.42578125" style="34" bestFit="1" customWidth="1"/>
    <col min="8" max="8" width="9.28515625" style="34" bestFit="1" customWidth="1"/>
    <col min="9" max="9" width="7" style="34" bestFit="1" customWidth="1"/>
    <col min="10" max="10" width="5.7109375" style="34" customWidth="1"/>
    <col min="11" max="16384" width="11.42578125" style="34"/>
  </cols>
  <sheetData>
    <row r="1" spans="2:10" ht="15.75" thickBot="1"/>
    <row r="2" spans="2:10" ht="19.5" thickTop="1">
      <c r="B2" s="537" t="s">
        <v>65</v>
      </c>
      <c r="C2" s="538"/>
      <c r="D2" s="538"/>
      <c r="E2" s="538"/>
      <c r="F2" s="538"/>
      <c r="G2" s="538"/>
      <c r="H2" s="538"/>
      <c r="I2" s="538"/>
      <c r="J2" s="539"/>
    </row>
    <row r="3" spans="2:10">
      <c r="B3" s="327"/>
      <c r="C3" s="82"/>
      <c r="D3" s="82"/>
      <c r="E3" s="82"/>
      <c r="F3" s="82"/>
      <c r="G3" s="82"/>
      <c r="H3" s="82"/>
      <c r="I3" s="82"/>
      <c r="J3" s="328"/>
    </row>
    <row r="4" spans="2:10" ht="15.75" thickBot="1">
      <c r="B4" s="327"/>
      <c r="C4" s="82"/>
      <c r="D4" s="82"/>
      <c r="E4" s="82"/>
      <c r="F4" s="82"/>
      <c r="G4" s="82"/>
      <c r="H4" s="82"/>
      <c r="I4" s="82"/>
      <c r="J4" s="328"/>
    </row>
    <row r="5" spans="2:10">
      <c r="B5" s="327"/>
      <c r="C5" s="540" t="s">
        <v>481</v>
      </c>
      <c r="D5" s="541"/>
      <c r="E5" s="542"/>
      <c r="F5" s="82"/>
      <c r="G5" s="82"/>
      <c r="H5" s="82"/>
      <c r="I5" s="82"/>
      <c r="J5" s="328"/>
    </row>
    <row r="6" spans="2:10">
      <c r="B6" s="327"/>
      <c r="C6" s="146" t="s">
        <v>294</v>
      </c>
      <c r="D6" s="191">
        <f>'Datos de entrada'!F12</f>
        <v>50</v>
      </c>
      <c r="E6" s="163" t="s">
        <v>0</v>
      </c>
      <c r="F6" s="82"/>
      <c r="J6" s="328"/>
    </row>
    <row r="7" spans="2:10" ht="15.75" thickBot="1">
      <c r="B7" s="327"/>
      <c r="C7" s="165" t="s">
        <v>38</v>
      </c>
      <c r="D7" s="198">
        <f>'Datos de entrada'!F13</f>
        <v>15</v>
      </c>
      <c r="E7" s="339" t="s">
        <v>6</v>
      </c>
      <c r="F7" s="82"/>
      <c r="J7" s="328"/>
    </row>
    <row r="8" spans="2:10" ht="15.75" thickBot="1">
      <c r="B8" s="327"/>
      <c r="C8" s="187"/>
      <c r="D8" s="543"/>
      <c r="E8" s="543"/>
      <c r="F8" s="82"/>
      <c r="G8" s="82"/>
      <c r="H8" s="82"/>
      <c r="I8" s="82"/>
      <c r="J8" s="328"/>
    </row>
    <row r="9" spans="2:10">
      <c r="B9" s="327"/>
      <c r="C9" s="195" t="s">
        <v>482</v>
      </c>
      <c r="D9" s="535" t="str">
        <f>Optimización!O3</f>
        <v>HD</v>
      </c>
      <c r="E9" s="536"/>
      <c r="F9" s="82"/>
      <c r="G9" s="195" t="s">
        <v>483</v>
      </c>
      <c r="H9" s="535" t="str">
        <f>Optimización!O4</f>
        <v>GRP</v>
      </c>
      <c r="I9" s="536"/>
      <c r="J9" s="328"/>
    </row>
    <row r="10" spans="2:10" ht="15.75" thickBot="1">
      <c r="B10" s="327"/>
      <c r="C10" s="90" t="s">
        <v>484</v>
      </c>
      <c r="D10" s="341">
        <f>'Pozo humedo'!D20</f>
        <v>3.3999999999999986</v>
      </c>
      <c r="E10" s="294" t="s">
        <v>0</v>
      </c>
      <c r="F10" s="82"/>
      <c r="G10" s="90" t="s">
        <v>485</v>
      </c>
      <c r="H10" s="341">
        <f>D6</f>
        <v>50</v>
      </c>
      <c r="I10" s="294" t="s">
        <v>0</v>
      </c>
      <c r="J10" s="328"/>
    </row>
    <row r="11" spans="2:10" ht="15.75" thickBot="1">
      <c r="B11" s="327"/>
      <c r="C11" s="82"/>
      <c r="D11" s="82"/>
      <c r="E11" s="82"/>
      <c r="F11" s="82"/>
      <c r="G11" s="82"/>
      <c r="H11" s="82"/>
      <c r="I11" s="82"/>
      <c r="J11" s="328"/>
    </row>
    <row r="12" spans="2:10" ht="15.75" thickBot="1">
      <c r="B12" s="327"/>
      <c r="C12" s="508" t="s">
        <v>635</v>
      </c>
      <c r="D12" s="509"/>
      <c r="E12" s="510"/>
      <c r="F12" s="82"/>
      <c r="G12" s="508" t="s">
        <v>634</v>
      </c>
      <c r="H12" s="509"/>
      <c r="I12" s="510"/>
      <c r="J12" s="328"/>
    </row>
    <row r="13" spans="2:10">
      <c r="B13" s="327"/>
      <c r="C13" s="136" t="s">
        <v>3</v>
      </c>
      <c r="D13" s="137">
        <f>Q/3.6</f>
        <v>5.5555555555555554</v>
      </c>
      <c r="E13" s="138" t="s">
        <v>1</v>
      </c>
      <c r="F13" s="82"/>
      <c r="G13" s="136" t="s">
        <v>3</v>
      </c>
      <c r="H13" s="137">
        <f>Q/3.6</f>
        <v>5.5555555555555554</v>
      </c>
      <c r="I13" s="138" t="s">
        <v>1</v>
      </c>
      <c r="J13" s="328"/>
    </row>
    <row r="14" spans="2:10">
      <c r="B14" s="327"/>
      <c r="C14" s="93" t="s">
        <v>304</v>
      </c>
      <c r="D14" s="78">
        <v>1.6</v>
      </c>
      <c r="E14" s="35" t="s">
        <v>50</v>
      </c>
      <c r="F14" s="82"/>
      <c r="G14" s="93" t="s">
        <v>304</v>
      </c>
      <c r="H14" s="78">
        <v>1.1000000000000001</v>
      </c>
      <c r="I14" s="35" t="s">
        <v>50</v>
      </c>
      <c r="J14" s="328"/>
    </row>
    <row r="15" spans="2:10">
      <c r="B15" s="327"/>
      <c r="C15" s="93" t="s">
        <v>303</v>
      </c>
      <c r="D15" s="78">
        <v>2.4</v>
      </c>
      <c r="E15" s="35" t="s">
        <v>50</v>
      </c>
      <c r="F15" s="82"/>
      <c r="G15" s="93" t="s">
        <v>303</v>
      </c>
      <c r="H15" s="78">
        <v>2.4</v>
      </c>
      <c r="I15" s="35" t="s">
        <v>50</v>
      </c>
      <c r="J15" s="328"/>
    </row>
    <row r="16" spans="2:10">
      <c r="B16" s="327"/>
      <c r="C16" s="93" t="s">
        <v>486</v>
      </c>
      <c r="D16" s="135">
        <f>1.128*SQRT(($D$13/1000)/D14)*1000</f>
        <v>66.46803743153545</v>
      </c>
      <c r="E16" s="35" t="s">
        <v>29</v>
      </c>
      <c r="F16" s="82"/>
      <c r="G16" s="93" t="s">
        <v>486</v>
      </c>
      <c r="H16" s="135">
        <f>1.128*SQRT(($H$13/1000)/H14)*1000</f>
        <v>80.163469349709516</v>
      </c>
      <c r="I16" s="35" t="s">
        <v>29</v>
      </c>
      <c r="J16" s="328"/>
    </row>
    <row r="17" spans="2:10">
      <c r="B17" s="327"/>
      <c r="C17" s="93" t="s">
        <v>480</v>
      </c>
      <c r="D17" s="135">
        <f>1.128*SQRT(($D$13/1000)/D15)*1000</f>
        <v>54.270925303824818</v>
      </c>
      <c r="E17" s="35" t="s">
        <v>29</v>
      </c>
      <c r="F17" s="82"/>
      <c r="G17" s="93" t="s">
        <v>480</v>
      </c>
      <c r="H17" s="135">
        <f>1.128*SQRT(($H$13/1000)/H15)*1000</f>
        <v>54.270925303824818</v>
      </c>
      <c r="I17" s="35" t="s">
        <v>29</v>
      </c>
      <c r="J17" s="328"/>
    </row>
    <row r="18" spans="2:10">
      <c r="B18" s="327"/>
      <c r="C18" s="139" t="s">
        <v>479</v>
      </c>
      <c r="D18" s="166">
        <f>Optimización!P3</f>
        <v>2.5</v>
      </c>
      <c r="E18" s="35" t="s">
        <v>2</v>
      </c>
      <c r="F18" s="82"/>
      <c r="G18" s="139" t="s">
        <v>479</v>
      </c>
      <c r="H18" s="166">
        <f>Optimización!P4</f>
        <v>3</v>
      </c>
      <c r="I18" s="35" t="s">
        <v>2</v>
      </c>
      <c r="J18" s="328"/>
    </row>
    <row r="19" spans="2:10">
      <c r="B19" s="327"/>
      <c r="C19" s="139" t="s">
        <v>28</v>
      </c>
      <c r="D19" s="162">
        <f>VLOOKUP(D9,Tuberías!$B$3:$C$8,2,FALSE)</f>
        <v>0.25</v>
      </c>
      <c r="E19" s="35" t="s">
        <v>29</v>
      </c>
      <c r="F19" s="82"/>
      <c r="G19" s="139" t="s">
        <v>28</v>
      </c>
      <c r="H19" s="162">
        <f>VLOOKUP(H9,Tuberías!$B$3:$C$8,2,FALSE)</f>
        <v>0.03</v>
      </c>
      <c r="I19" s="35" t="s">
        <v>29</v>
      </c>
      <c r="J19" s="328"/>
    </row>
    <row r="20" spans="2:10">
      <c r="B20" s="327"/>
      <c r="C20" s="139" t="s">
        <v>42</v>
      </c>
      <c r="D20" s="161">
        <f>(D13/1000)/(PI()*(D18*0.0254)^2/4)</f>
        <v>1.7542446590133198</v>
      </c>
      <c r="E20" s="35" t="s">
        <v>45</v>
      </c>
      <c r="F20" s="82"/>
      <c r="G20" s="139" t="s">
        <v>42</v>
      </c>
      <c r="H20" s="161">
        <f>(H13/1000)/(PI()*(H18*0.0254)^2/4)</f>
        <v>1.2182254576481393</v>
      </c>
      <c r="I20" s="35" t="s">
        <v>45</v>
      </c>
      <c r="J20" s="328"/>
    </row>
    <row r="21" spans="2:10" ht="17.25">
      <c r="B21" s="327"/>
      <c r="C21" s="140" t="s">
        <v>16</v>
      </c>
      <c r="D21" s="133">
        <f>VLOOKUP(D7,'Prop. Agua'!$A$3:$H$16,6,FALSE)</f>
        <v>1.139E-6</v>
      </c>
      <c r="E21" s="35" t="s">
        <v>44</v>
      </c>
      <c r="F21" s="82"/>
      <c r="G21" s="140" t="s">
        <v>16</v>
      </c>
      <c r="H21" s="133">
        <f>VLOOKUP(D7,'Prop. Agua'!$A$3:$H$16,6,FALSE)</f>
        <v>1.139E-6</v>
      </c>
      <c r="I21" s="35" t="s">
        <v>44</v>
      </c>
      <c r="J21" s="328"/>
    </row>
    <row r="22" spans="2:10">
      <c r="B22" s="327"/>
      <c r="C22" s="139" t="s">
        <v>17</v>
      </c>
      <c r="D22" s="39">
        <f>D20*($D$18*0.0254)/$D$21</f>
        <v>97800.294861585426</v>
      </c>
      <c r="E22" s="35" t="s">
        <v>18</v>
      </c>
      <c r="F22" s="43"/>
      <c r="G22" s="139" t="s">
        <v>17</v>
      </c>
      <c r="H22" s="39">
        <f>H20*($H$18*0.0254)/$H$21</f>
        <v>81500.245717987884</v>
      </c>
      <c r="I22" s="35" t="s">
        <v>18</v>
      </c>
      <c r="J22" s="328"/>
    </row>
    <row r="23" spans="2:10">
      <c r="B23" s="327"/>
      <c r="C23" s="139" t="s">
        <v>19</v>
      </c>
      <c r="D23" s="134">
        <f>ffriccion(D19/1000,D22,D18*0.0254)</f>
        <v>2.9289770773005701E-2</v>
      </c>
      <c r="E23" s="35" t="s">
        <v>18</v>
      </c>
      <c r="F23" s="44"/>
      <c r="G23" s="139" t="s">
        <v>19</v>
      </c>
      <c r="H23" s="134">
        <f>ffriccion(H19/1000,H22,H18*0.0254)</f>
        <v>2.042732439733054E-2</v>
      </c>
      <c r="I23" s="35" t="s">
        <v>18</v>
      </c>
      <c r="J23" s="328"/>
    </row>
    <row r="24" spans="2:10" ht="15.75" thickBot="1">
      <c r="B24" s="327"/>
      <c r="C24" s="141" t="s">
        <v>30</v>
      </c>
      <c r="D24" s="142">
        <f>D23*D10/(D18*0.0254)*D20^2/(2*9.81)</f>
        <v>0.24598152373760285</v>
      </c>
      <c r="E24" s="143" t="s">
        <v>0</v>
      </c>
      <c r="F24" s="44"/>
      <c r="G24" s="141" t="s">
        <v>30</v>
      </c>
      <c r="H24" s="142">
        <f>H23*H10/(H18*0.0254)*H20^2/(2*9.81)</f>
        <v>1.0138713652268347</v>
      </c>
      <c r="I24" s="143" t="s">
        <v>0</v>
      </c>
      <c r="J24" s="328"/>
    </row>
    <row r="25" spans="2:10" ht="15.75" thickBot="1">
      <c r="B25" s="327"/>
      <c r="C25" s="82"/>
      <c r="D25" s="82"/>
      <c r="E25" s="82"/>
      <c r="F25" s="44"/>
      <c r="G25" s="82"/>
      <c r="H25" s="82"/>
      <c r="I25" s="82"/>
      <c r="J25" s="328"/>
    </row>
    <row r="26" spans="2:10">
      <c r="B26" s="327"/>
      <c r="C26" s="182" t="s">
        <v>443</v>
      </c>
      <c r="D26" s="183">
        <f>SUM('K accesorios'!C3:C19)</f>
        <v>4.2</v>
      </c>
      <c r="E26" s="184"/>
      <c r="F26" s="82"/>
      <c r="G26" s="182" t="s">
        <v>443</v>
      </c>
      <c r="H26" s="183">
        <f>SUM('K accesorios'!D3:D19)</f>
        <v>4.8</v>
      </c>
      <c r="I26" s="184"/>
      <c r="J26" s="328"/>
    </row>
    <row r="27" spans="2:10" ht="15.75" thickBot="1">
      <c r="B27" s="327"/>
      <c r="C27" s="141" t="s">
        <v>442</v>
      </c>
      <c r="D27" s="171">
        <f>D26*'Linea de impulsión'!D20^2/(2*9.81)</f>
        <v>0.65876514574120215</v>
      </c>
      <c r="E27" s="143" t="s">
        <v>0</v>
      </c>
      <c r="F27" s="82"/>
      <c r="G27" s="141" t="s">
        <v>442</v>
      </c>
      <c r="H27" s="171">
        <f>H26*'Linea de impulsión'!H20^2/(2*9.81)</f>
        <v>0.36307602829651825</v>
      </c>
      <c r="I27" s="143" t="s">
        <v>0</v>
      </c>
      <c r="J27" s="328"/>
    </row>
    <row r="28" spans="2:10" ht="15.75" thickBot="1">
      <c r="B28" s="327"/>
      <c r="C28" s="82"/>
      <c r="D28" s="82"/>
      <c r="E28" s="82"/>
      <c r="F28" s="305"/>
      <c r="G28" s="82"/>
      <c r="H28" s="82"/>
      <c r="I28" s="82"/>
      <c r="J28" s="328"/>
    </row>
    <row r="29" spans="2:10" ht="15.75" thickBot="1">
      <c r="B29" s="327"/>
      <c r="C29" s="185" t="s">
        <v>449</v>
      </c>
      <c r="D29" s="186">
        <f>D24+D27</f>
        <v>0.904746669478805</v>
      </c>
      <c r="E29" s="170" t="s">
        <v>0</v>
      </c>
      <c r="F29" s="82"/>
      <c r="G29" s="185" t="s">
        <v>449</v>
      </c>
      <c r="H29" s="186">
        <f>H24+H27</f>
        <v>1.3769473935233529</v>
      </c>
      <c r="I29" s="170" t="s">
        <v>0</v>
      </c>
      <c r="J29" s="328"/>
    </row>
    <row r="30" spans="2:10" ht="15.75" thickBot="1">
      <c r="B30" s="330"/>
      <c r="C30" s="332"/>
      <c r="D30" s="332"/>
      <c r="E30" s="332"/>
      <c r="F30" s="332"/>
      <c r="G30" s="332"/>
      <c r="H30" s="332"/>
      <c r="I30" s="332"/>
      <c r="J30" s="333"/>
    </row>
    <row r="31" spans="2:10" ht="15.75" thickTop="1"/>
  </sheetData>
  <mergeCells count="7">
    <mergeCell ref="H9:I9"/>
    <mergeCell ref="D9:E9"/>
    <mergeCell ref="B2:J2"/>
    <mergeCell ref="C5:E5"/>
    <mergeCell ref="C12:E12"/>
    <mergeCell ref="G12:I12"/>
    <mergeCell ref="D8:E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9">
    <tabColor rgb="FF00B0F0"/>
  </sheetPr>
  <dimension ref="B1:Q22"/>
  <sheetViews>
    <sheetView workbookViewId="0">
      <selection activeCell="S11" sqref="S11"/>
    </sheetView>
  </sheetViews>
  <sheetFormatPr baseColWidth="10" defaultRowHeight="15"/>
  <cols>
    <col min="1" max="2" width="5.7109375" style="34" customWidth="1"/>
    <col min="3" max="3" width="36.85546875" style="34" bestFit="1" customWidth="1"/>
    <col min="4" max="4" width="9.42578125" style="34" bestFit="1" customWidth="1"/>
    <col min="5" max="5" width="6.42578125" style="34" bestFit="1" customWidth="1"/>
    <col min="6" max="7" width="5.7109375" style="34" customWidth="1"/>
    <col min="8" max="8" width="5.140625" style="34" bestFit="1" customWidth="1"/>
    <col min="9" max="9" width="6" style="34" bestFit="1" customWidth="1"/>
    <col min="10" max="10" width="2.7109375" style="34" customWidth="1"/>
    <col min="11" max="11" width="6.28515625" style="34" bestFit="1" customWidth="1"/>
    <col min="12" max="12" width="6" style="34" bestFit="1" customWidth="1"/>
    <col min="13" max="13" width="11.42578125" style="34"/>
    <col min="14" max="14" width="2.7109375" style="34" customWidth="1"/>
    <col min="15" max="17" width="5.7109375" style="34" customWidth="1"/>
    <col min="18" max="16384" width="11.42578125" style="34"/>
  </cols>
  <sheetData>
    <row r="1" spans="2:17" ht="15.75" thickBot="1"/>
    <row r="2" spans="2:17" ht="19.5" thickTop="1">
      <c r="B2" s="544" t="s">
        <v>476</v>
      </c>
      <c r="C2" s="545"/>
      <c r="D2" s="545"/>
      <c r="E2" s="545"/>
      <c r="F2" s="545"/>
      <c r="G2" s="545"/>
      <c r="H2" s="545"/>
      <c r="I2" s="545"/>
      <c r="J2" s="545"/>
      <c r="K2" s="545"/>
      <c r="L2" s="545"/>
      <c r="M2" s="545"/>
      <c r="N2" s="545"/>
      <c r="O2" s="545"/>
      <c r="P2" s="545"/>
      <c r="Q2" s="546"/>
    </row>
    <row r="3" spans="2:17" ht="18.75">
      <c r="B3" s="337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338"/>
    </row>
    <row r="4" spans="2:17" ht="19.5" thickBot="1">
      <c r="B4" s="327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328"/>
    </row>
    <row r="5" spans="2:17" ht="15.75" thickBot="1">
      <c r="B5" s="327"/>
      <c r="C5" s="547" t="s">
        <v>477</v>
      </c>
      <c r="D5" s="541"/>
      <c r="E5" s="548"/>
      <c r="F5" s="82"/>
      <c r="G5" s="107"/>
      <c r="H5" s="108"/>
      <c r="I5" s="108"/>
      <c r="J5" s="108"/>
      <c r="K5" s="108"/>
      <c r="L5" s="108"/>
      <c r="M5" s="108"/>
      <c r="N5" s="108"/>
      <c r="O5" s="108"/>
      <c r="P5" s="109"/>
      <c r="Q5" s="328"/>
    </row>
    <row r="6" spans="2:17">
      <c r="B6" s="327"/>
      <c r="C6" s="195" t="s">
        <v>277</v>
      </c>
      <c r="D6" s="197">
        <f>'Datos de entrada'!F14</f>
        <v>15</v>
      </c>
      <c r="E6" s="97" t="s">
        <v>278</v>
      </c>
      <c r="F6" s="82"/>
      <c r="G6" s="84"/>
      <c r="H6" s="82"/>
      <c r="I6" s="82"/>
      <c r="J6" s="82"/>
      <c r="K6" s="82"/>
      <c r="L6" s="82"/>
      <c r="M6" s="82"/>
      <c r="N6" s="82"/>
      <c r="O6" s="82"/>
      <c r="P6" s="83"/>
      <c r="Q6" s="328"/>
    </row>
    <row r="7" spans="2:17" ht="15.75" thickBot="1">
      <c r="B7" s="327"/>
      <c r="C7" s="85" t="s">
        <v>279</v>
      </c>
      <c r="D7" s="192">
        <f>'Datos de entrada'!F9</f>
        <v>45</v>
      </c>
      <c r="E7" s="96" t="s">
        <v>4</v>
      </c>
      <c r="F7" s="82"/>
      <c r="G7" s="110"/>
      <c r="H7" s="112"/>
      <c r="I7" s="112"/>
      <c r="J7" s="112"/>
      <c r="K7" s="112" t="s">
        <v>283</v>
      </c>
      <c r="L7" s="113">
        <f>D7</f>
        <v>45</v>
      </c>
      <c r="M7" s="112"/>
      <c r="N7" s="112"/>
      <c r="O7" s="112"/>
      <c r="P7" s="114"/>
      <c r="Q7" s="328"/>
    </row>
    <row r="8" spans="2:17">
      <c r="B8" s="327"/>
      <c r="C8" s="85" t="s">
        <v>282</v>
      </c>
      <c r="D8" s="192">
        <f>'Datos de entrada'!F10</f>
        <v>43.63</v>
      </c>
      <c r="E8" s="96" t="s">
        <v>4</v>
      </c>
      <c r="F8" s="82"/>
      <c r="G8" s="110"/>
      <c r="H8" s="123"/>
      <c r="I8" s="123"/>
      <c r="J8" s="124"/>
      <c r="K8" s="111"/>
      <c r="L8" s="111"/>
      <c r="M8" s="114"/>
      <c r="N8" s="123"/>
      <c r="O8" s="123"/>
      <c r="P8" s="114"/>
      <c r="Q8" s="328"/>
    </row>
    <row r="9" spans="2:17" ht="15.75" thickBot="1">
      <c r="B9" s="327"/>
      <c r="C9" s="193" t="s">
        <v>280</v>
      </c>
      <c r="D9" s="292">
        <f>IFERROR(IF(VLOOKUP("X",'Bombas coincidentes'!$B$17:$M$35,10,FALSE)/1000&gt;0.5,VLOOKUP("X",'Bombas coincidentes'!$B$17:$M$35,10,FALSE)/1000,0.5),0.5)</f>
        <v>0.5</v>
      </c>
      <c r="E9" s="98" t="s">
        <v>0</v>
      </c>
      <c r="F9" s="82"/>
      <c r="G9" s="110"/>
      <c r="H9" s="111"/>
      <c r="I9" s="111"/>
      <c r="J9" s="124"/>
      <c r="K9" s="111"/>
      <c r="L9" s="111"/>
      <c r="M9" s="114"/>
      <c r="N9" s="123"/>
      <c r="O9" s="111"/>
      <c r="P9" s="114"/>
      <c r="Q9" s="328"/>
    </row>
    <row r="10" spans="2:17" ht="15.75" thickBot="1">
      <c r="B10" s="327"/>
      <c r="C10" s="82"/>
      <c r="D10" s="82"/>
      <c r="E10" s="82"/>
      <c r="F10" s="82"/>
      <c r="G10" s="110"/>
      <c r="H10" s="111"/>
      <c r="I10" s="111"/>
      <c r="J10" s="125"/>
      <c r="K10" s="111"/>
      <c r="L10" s="111"/>
      <c r="M10" s="114"/>
      <c r="N10" s="123"/>
      <c r="O10" s="111"/>
      <c r="P10" s="114"/>
      <c r="Q10" s="328"/>
    </row>
    <row r="11" spans="2:17" ht="15.75" thickBot="1">
      <c r="B11" s="327"/>
      <c r="C11" s="299" t="s">
        <v>478</v>
      </c>
      <c r="D11" s="300"/>
      <c r="E11" s="301"/>
      <c r="F11" s="82"/>
      <c r="G11" s="110"/>
      <c r="H11" s="116" t="s">
        <v>284</v>
      </c>
      <c r="I11" s="117">
        <f>D8</f>
        <v>43.63</v>
      </c>
      <c r="J11" s="82"/>
      <c r="K11" s="111"/>
      <c r="L11" s="111"/>
      <c r="M11" s="114"/>
      <c r="N11" s="123"/>
      <c r="O11" s="111"/>
      <c r="P11" s="114"/>
      <c r="Q11" s="328"/>
    </row>
    <row r="12" spans="2:17" ht="15.75" thickBot="1">
      <c r="B12" s="327"/>
      <c r="C12" s="100" t="s">
        <v>46</v>
      </c>
      <c r="D12" s="94">
        <f>Vol(Q,D6)</f>
        <v>1.25</v>
      </c>
      <c r="E12" s="97" t="s">
        <v>281</v>
      </c>
      <c r="F12" s="82"/>
      <c r="G12" s="110"/>
      <c r="H12" s="111"/>
      <c r="I12" s="111"/>
      <c r="J12" s="126"/>
      <c r="K12" s="118" t="s">
        <v>289</v>
      </c>
      <c r="L12" s="119">
        <f>D15</f>
        <v>43.4</v>
      </c>
      <c r="M12" s="114"/>
      <c r="N12" s="123"/>
      <c r="O12" s="111"/>
      <c r="P12" s="114"/>
      <c r="Q12" s="328"/>
    </row>
    <row r="13" spans="2:17" ht="15.75" thickBot="1">
      <c r="B13" s="327"/>
      <c r="C13" s="101" t="s">
        <v>479</v>
      </c>
      <c r="D13" s="95">
        <f>Dpozo(D12)</f>
        <v>1.2</v>
      </c>
      <c r="E13" s="96" t="s">
        <v>0</v>
      </c>
      <c r="F13" s="82"/>
      <c r="G13" s="110"/>
      <c r="H13" s="111"/>
      <c r="I13" s="111"/>
      <c r="J13" s="124"/>
      <c r="K13" s="120" t="s">
        <v>290</v>
      </c>
      <c r="L13" s="121">
        <f>D16</f>
        <v>43.35</v>
      </c>
      <c r="M13" s="114"/>
      <c r="N13" s="123"/>
      <c r="O13" s="111"/>
      <c r="P13" s="114"/>
      <c r="Q13" s="328"/>
    </row>
    <row r="14" spans="2:17">
      <c r="B14" s="327"/>
      <c r="C14" s="101" t="s">
        <v>36</v>
      </c>
      <c r="D14" s="95">
        <f>ROUNDUP(hpozo(D12,D13),1)</f>
        <v>1.2000000000000002</v>
      </c>
      <c r="E14" s="96" t="s">
        <v>0</v>
      </c>
      <c r="F14" s="82"/>
      <c r="G14" s="110"/>
      <c r="H14" s="111"/>
      <c r="I14" s="111"/>
      <c r="J14" s="124"/>
      <c r="K14" s="111"/>
      <c r="L14" s="111"/>
      <c r="M14" s="114"/>
      <c r="N14" s="123"/>
      <c r="O14" s="111"/>
      <c r="P14" s="114"/>
      <c r="Q14" s="328"/>
    </row>
    <row r="15" spans="2:17">
      <c r="B15" s="327"/>
      <c r="C15" s="105" t="s">
        <v>287</v>
      </c>
      <c r="D15" s="102">
        <f>ROUND(D8-0.2,1)</f>
        <v>43.4</v>
      </c>
      <c r="E15" s="96" t="s">
        <v>4</v>
      </c>
      <c r="F15" s="82"/>
      <c r="G15" s="110"/>
      <c r="H15" s="111"/>
      <c r="I15" s="111"/>
      <c r="J15" s="124"/>
      <c r="K15" s="111"/>
      <c r="L15" s="111"/>
      <c r="M15" s="114"/>
      <c r="N15" s="123"/>
      <c r="O15" s="111"/>
      <c r="P15" s="114"/>
      <c r="Q15" s="328"/>
    </row>
    <row r="16" spans="2:17" ht="15.75" thickBot="1">
      <c r="B16" s="327"/>
      <c r="C16" s="105" t="s">
        <v>285</v>
      </c>
      <c r="D16" s="102">
        <f>D15-0.05</f>
        <v>43.35</v>
      </c>
      <c r="E16" s="96" t="s">
        <v>4</v>
      </c>
      <c r="F16" s="82"/>
      <c r="G16" s="110"/>
      <c r="H16" s="111"/>
      <c r="I16" s="111"/>
      <c r="J16" s="124"/>
      <c r="K16" s="118" t="s">
        <v>291</v>
      </c>
      <c r="L16" s="119">
        <f>D17</f>
        <v>42.15</v>
      </c>
      <c r="M16" s="114"/>
      <c r="N16" s="123"/>
      <c r="O16" s="111"/>
      <c r="P16" s="114"/>
      <c r="Q16" s="328"/>
    </row>
    <row r="17" spans="2:17" ht="15.75" thickBot="1">
      <c r="B17" s="327"/>
      <c r="C17" s="105" t="s">
        <v>286</v>
      </c>
      <c r="D17" s="102">
        <f>D16-D14</f>
        <v>42.15</v>
      </c>
      <c r="E17" s="96" t="s">
        <v>4</v>
      </c>
      <c r="F17" s="82"/>
      <c r="G17" s="110"/>
      <c r="H17" s="111"/>
      <c r="I17" s="111"/>
      <c r="J17" s="124"/>
      <c r="K17" s="120" t="s">
        <v>292</v>
      </c>
      <c r="L17" s="121">
        <f>D18</f>
        <v>42.1</v>
      </c>
      <c r="M17" s="114"/>
      <c r="N17" s="123"/>
      <c r="O17" s="111"/>
      <c r="P17" s="114"/>
      <c r="Q17" s="328"/>
    </row>
    <row r="18" spans="2:17">
      <c r="B18" s="327"/>
      <c r="C18" s="105" t="s">
        <v>288</v>
      </c>
      <c r="D18" s="102">
        <f>D17-0.05</f>
        <v>42.1</v>
      </c>
      <c r="E18" s="96" t="s">
        <v>4</v>
      </c>
      <c r="F18" s="82"/>
      <c r="G18" s="110"/>
      <c r="H18" s="111"/>
      <c r="I18" s="111"/>
      <c r="J18" s="124"/>
      <c r="K18" s="111"/>
      <c r="L18" s="111"/>
      <c r="M18" s="114"/>
      <c r="N18" s="123"/>
      <c r="O18" s="111"/>
      <c r="P18" s="114"/>
      <c r="Q18" s="328"/>
    </row>
    <row r="19" spans="2:17" ht="15.75" thickBot="1">
      <c r="B19" s="327"/>
      <c r="C19" s="101" t="s">
        <v>43</v>
      </c>
      <c r="D19" s="102">
        <f>D18-D9</f>
        <v>41.6</v>
      </c>
      <c r="E19" s="96" t="s">
        <v>4</v>
      </c>
      <c r="F19" s="82"/>
      <c r="G19" s="110"/>
      <c r="H19" s="111"/>
      <c r="I19" s="111"/>
      <c r="J19" s="124"/>
      <c r="K19" s="112" t="s">
        <v>293</v>
      </c>
      <c r="L19" s="113">
        <f>D19</f>
        <v>41.6</v>
      </c>
      <c r="M19" s="115"/>
      <c r="N19" s="123"/>
      <c r="O19" s="111"/>
      <c r="P19" s="114"/>
      <c r="Q19" s="328"/>
    </row>
    <row r="20" spans="2:17" ht="15.75" thickBot="1">
      <c r="B20" s="327"/>
      <c r="C20" s="103" t="s">
        <v>37</v>
      </c>
      <c r="D20" s="104">
        <f>D7-D19</f>
        <v>3.3999999999999986</v>
      </c>
      <c r="E20" s="98" t="s">
        <v>0</v>
      </c>
      <c r="F20" s="82"/>
      <c r="G20" s="122"/>
      <c r="H20" s="112"/>
      <c r="I20" s="112"/>
      <c r="J20" s="127"/>
      <c r="K20" s="127"/>
      <c r="L20" s="127"/>
      <c r="M20" s="127"/>
      <c r="N20" s="127"/>
      <c r="O20" s="112"/>
      <c r="P20" s="115"/>
      <c r="Q20" s="328"/>
    </row>
    <row r="21" spans="2:17" ht="15.75" thickBot="1">
      <c r="B21" s="330"/>
      <c r="C21" s="332"/>
      <c r="D21" s="332"/>
      <c r="E21" s="332"/>
      <c r="F21" s="332"/>
      <c r="G21" s="332"/>
      <c r="H21" s="332"/>
      <c r="I21" s="332"/>
      <c r="J21" s="332"/>
      <c r="K21" s="332"/>
      <c r="L21" s="332"/>
      <c r="M21" s="332"/>
      <c r="N21" s="332"/>
      <c r="O21" s="332"/>
      <c r="P21" s="332"/>
      <c r="Q21" s="333"/>
    </row>
    <row r="22" spans="2:17" ht="15.75" thickTop="1"/>
  </sheetData>
  <mergeCells count="2">
    <mergeCell ref="B2:Q2"/>
    <mergeCell ref="C5:E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0">
    <tabColor rgb="FFFFC000"/>
  </sheetPr>
  <dimension ref="A1:AI84"/>
  <sheetViews>
    <sheetView topLeftCell="A2" zoomScale="90" zoomScaleNormal="90" workbookViewId="0">
      <selection activeCell="F62" sqref="F62"/>
    </sheetView>
  </sheetViews>
  <sheetFormatPr baseColWidth="10" defaultColWidth="13.42578125" defaultRowHeight="15"/>
  <cols>
    <col min="1" max="1" width="3.7109375" style="174" customWidth="1"/>
    <col min="2" max="2" width="9.5703125" style="174" customWidth="1"/>
    <col min="3" max="4" width="12.5703125" style="174" customWidth="1"/>
    <col min="5" max="5" width="22.42578125" style="174" bestFit="1" customWidth="1"/>
    <col min="6" max="6" width="19.5703125" style="174" customWidth="1"/>
    <col min="7" max="7" width="20" style="174" hidden="1" customWidth="1"/>
    <col min="8" max="8" width="3.7109375" style="174" hidden="1" customWidth="1"/>
    <col min="9" max="9" width="20.42578125" style="174" hidden="1" customWidth="1"/>
    <col min="10" max="10" width="22.85546875" style="174" hidden="1" customWidth="1"/>
    <col min="11" max="11" width="8.28515625" style="174" hidden="1" customWidth="1"/>
    <col min="12" max="12" width="10.28515625" style="174" hidden="1" customWidth="1"/>
    <col min="13" max="13" width="16.42578125" style="174" hidden="1" customWidth="1"/>
    <col min="14" max="14" width="17.7109375" style="174" hidden="1" customWidth="1"/>
    <col min="15" max="15" width="16.42578125" style="174" hidden="1" customWidth="1"/>
    <col min="16" max="16" width="19.28515625" style="174" hidden="1" customWidth="1"/>
    <col min="17" max="17" width="2" style="174" hidden="1" customWidth="1"/>
    <col min="18" max="18" width="20.42578125" style="174" hidden="1" customWidth="1"/>
    <col min="19" max="19" width="22.85546875" style="174" hidden="1" customWidth="1"/>
    <col min="20" max="20" width="8.28515625" style="174" hidden="1" customWidth="1"/>
    <col min="21" max="21" width="10.28515625" style="174" hidden="1" customWidth="1"/>
    <col min="22" max="24" width="16.42578125" style="174" hidden="1" customWidth="1"/>
    <col min="25" max="25" width="13" style="174" hidden="1" customWidth="1"/>
    <col min="26" max="26" width="4.42578125" style="174" customWidth="1"/>
    <col min="27" max="27" width="3.7109375" style="416" customWidth="1"/>
    <col min="28" max="28" width="24.42578125" style="174" bestFit="1" customWidth="1"/>
    <col min="29" max="29" width="11.28515625" style="174" bestFit="1" customWidth="1"/>
    <col min="30" max="30" width="10.5703125" style="174" bestFit="1" customWidth="1"/>
    <col min="31" max="31" width="16.42578125" style="174" bestFit="1" customWidth="1"/>
    <col min="32" max="32" width="21.85546875" style="174" bestFit="1" customWidth="1"/>
    <col min="33" max="33" width="23.140625" style="174" bestFit="1" customWidth="1"/>
    <col min="34" max="34" width="13.140625" style="174" bestFit="1" customWidth="1"/>
    <col min="35" max="35" width="3.7109375" style="174" customWidth="1"/>
    <col min="36" max="75" width="13.5703125" style="174" customWidth="1"/>
    <col min="76" max="16384" width="13.42578125" style="174"/>
  </cols>
  <sheetData>
    <row r="1" spans="1:35" ht="15.75" thickBot="1"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416"/>
      <c r="R1" s="416"/>
      <c r="S1" s="416"/>
      <c r="T1" s="416"/>
      <c r="U1" s="416"/>
      <c r="V1" s="416"/>
      <c r="W1" s="416"/>
      <c r="X1" s="416"/>
      <c r="Y1" s="416"/>
    </row>
    <row r="2" spans="1:35" s="416" customFormat="1" ht="19.5" customHeight="1" thickTop="1" thickBot="1">
      <c r="A2" s="418"/>
      <c r="B2" s="522" t="s">
        <v>583</v>
      </c>
      <c r="C2" s="523"/>
      <c r="D2" s="523"/>
      <c r="E2" s="523"/>
      <c r="F2" s="524"/>
      <c r="G2" s="306"/>
      <c r="H2" s="106"/>
      <c r="I2" s="360" t="s">
        <v>29</v>
      </c>
      <c r="J2" s="390" t="s">
        <v>580</v>
      </c>
      <c r="K2" s="390">
        <v>1</v>
      </c>
      <c r="L2" s="403">
        <v>2</v>
      </c>
      <c r="N2" s="520" t="s">
        <v>276</v>
      </c>
      <c r="O2" s="521"/>
      <c r="P2" s="433">
        <f>COUNT(C17:C56)</f>
        <v>19</v>
      </c>
      <c r="R2" s="587" t="s">
        <v>581</v>
      </c>
      <c r="S2" s="588"/>
      <c r="AA2" s="522" t="s">
        <v>611</v>
      </c>
      <c r="AB2" s="523"/>
      <c r="AC2" s="523"/>
      <c r="AD2" s="523"/>
      <c r="AE2" s="523"/>
      <c r="AF2" s="523"/>
      <c r="AG2" s="523"/>
      <c r="AH2" s="523"/>
      <c r="AI2" s="524"/>
    </row>
    <row r="3" spans="1:35" s="416" customFormat="1">
      <c r="A3" s="418"/>
      <c r="B3" s="439"/>
      <c r="C3" s="418"/>
      <c r="D3" s="418"/>
      <c r="E3" s="418"/>
      <c r="F3" s="440"/>
      <c r="G3" s="418"/>
      <c r="I3" s="232">
        <v>32</v>
      </c>
      <c r="J3" s="401">
        <v>1.25</v>
      </c>
      <c r="K3" s="413" t="str">
        <f>IF(AND(I3&gt;'Linea de impulsión'!$D$17,I3&lt;'Linea de impulsión'!$D$16),"1","")</f>
        <v/>
      </c>
      <c r="L3" s="41" t="str">
        <f>IF(AND(I3&gt;'Linea de impulsión'!$H$17,I3&lt;'Linea de impulsión'!$H$16),"1","")</f>
        <v/>
      </c>
      <c r="N3" s="411" t="s">
        <v>53</v>
      </c>
      <c r="O3" s="408" t="s">
        <v>295</v>
      </c>
      <c r="P3" s="399">
        <v>2.5</v>
      </c>
      <c r="R3" s="360" t="s">
        <v>582</v>
      </c>
      <c r="S3" s="434">
        <f>VLOOKUP(N6,$B$17:$G$56,6,FALSE)</f>
        <v>3700000</v>
      </c>
      <c r="V3" s="582" t="s">
        <v>475</v>
      </c>
      <c r="W3" s="583"/>
      <c r="X3" s="392">
        <f>'Bombas coincidentes'!J11</f>
        <v>0.38820188016275087</v>
      </c>
      <c r="Y3" s="248" t="s">
        <v>448</v>
      </c>
      <c r="AA3" s="471"/>
      <c r="AB3" s="557" t="s">
        <v>623</v>
      </c>
      <c r="AC3" s="557"/>
      <c r="AD3" s="557"/>
      <c r="AE3" s="557"/>
      <c r="AF3" s="557"/>
      <c r="AG3" s="557"/>
      <c r="AH3" s="557"/>
      <c r="AI3" s="440"/>
    </row>
    <row r="4" spans="1:35" s="416" customFormat="1" ht="15.75" thickBot="1">
      <c r="A4" s="418"/>
      <c r="B4" s="596"/>
      <c r="C4" s="597"/>
      <c r="D4" s="418"/>
      <c r="E4" s="418"/>
      <c r="F4" s="440"/>
      <c r="G4" s="418"/>
      <c r="I4" s="232">
        <v>40</v>
      </c>
      <c r="J4" s="401">
        <v>1.5</v>
      </c>
      <c r="K4" s="413" t="str">
        <f>IF(AND(I4&gt;'Linea de impulsión'!$D$17,I4&lt;'Linea de impulsión'!$D$16),"1","")</f>
        <v/>
      </c>
      <c r="L4" s="41" t="str">
        <f>IF(AND(I4&gt;'Linea de impulsión'!$H$17,I4&lt;'Linea de impulsión'!$H$16),"1","")</f>
        <v/>
      </c>
      <c r="N4" s="410" t="s">
        <v>54</v>
      </c>
      <c r="O4" s="409" t="s">
        <v>296</v>
      </c>
      <c r="P4" s="400">
        <v>3</v>
      </c>
      <c r="R4" s="412" t="s">
        <v>590</v>
      </c>
      <c r="S4" s="435">
        <f>VLOOKUP(N6,$B$17:$G$56,5,FALSE)</f>
        <v>21664964.107299998</v>
      </c>
      <c r="V4" s="584" t="s">
        <v>463</v>
      </c>
      <c r="W4" s="585"/>
      <c r="X4" s="391">
        <f>'Datos de entrada'!F14</f>
        <v>15</v>
      </c>
      <c r="Y4" s="393" t="s">
        <v>278</v>
      </c>
      <c r="AA4" s="471"/>
      <c r="AB4" s="557"/>
      <c r="AC4" s="557"/>
      <c r="AD4" s="557"/>
      <c r="AE4" s="557"/>
      <c r="AF4" s="557"/>
      <c r="AG4" s="557"/>
      <c r="AH4" s="557"/>
      <c r="AI4" s="440"/>
    </row>
    <row r="5" spans="1:35" s="416" customFormat="1" ht="15.75" thickBot="1">
      <c r="A5" s="418"/>
      <c r="B5" s="439"/>
      <c r="C5" s="425"/>
      <c r="D5" s="426"/>
      <c r="E5" s="427"/>
      <c r="F5" s="440"/>
      <c r="G5" s="418"/>
      <c r="I5" s="232">
        <v>50</v>
      </c>
      <c r="J5" s="402">
        <v>2</v>
      </c>
      <c r="K5" s="413" t="str">
        <f>IF(AND(I5&gt;'Linea de impulsión'!$D$17,I5&lt;'Linea de impulsión'!$D$16),"1","")</f>
        <v/>
      </c>
      <c r="L5" s="41" t="str">
        <f>IF(AND(I5&gt;'Linea de impulsión'!$H$17,I5&lt;'Linea de impulsión'!$H$16),"1","")</f>
        <v/>
      </c>
      <c r="N5" s="406" t="s">
        <v>582</v>
      </c>
      <c r="O5" s="174"/>
      <c r="P5" s="174"/>
      <c r="R5" s="412" t="s">
        <v>591</v>
      </c>
      <c r="S5" s="436">
        <f>P30</f>
        <v>95144.39999999998</v>
      </c>
      <c r="V5" s="586" t="s">
        <v>588</v>
      </c>
      <c r="W5" s="585"/>
      <c r="X5" s="391">
        <f>(((60/X4)*(X4/2))/60)*24*365</f>
        <v>4380</v>
      </c>
      <c r="Y5" s="393" t="s">
        <v>490</v>
      </c>
      <c r="AA5" s="471"/>
      <c r="AB5" s="567" t="s">
        <v>624</v>
      </c>
      <c r="AC5" s="568"/>
      <c r="AD5" s="568"/>
      <c r="AE5" s="568"/>
      <c r="AF5" s="568"/>
      <c r="AG5" s="569"/>
      <c r="AH5" s="472"/>
      <c r="AI5" s="440"/>
    </row>
    <row r="6" spans="1:35" s="416" customFormat="1" ht="15.75" thickBot="1">
      <c r="A6" s="418"/>
      <c r="B6" s="439"/>
      <c r="C6" s="428"/>
      <c r="D6" s="429"/>
      <c r="E6" s="430"/>
      <c r="F6" s="440"/>
      <c r="G6" s="418"/>
      <c r="I6" s="232">
        <v>65</v>
      </c>
      <c r="J6" s="401">
        <v>2.5</v>
      </c>
      <c r="K6" s="413" t="str">
        <f>IF(AND(I6&gt;'Linea de impulsión'!$D$17,I6&lt;'Linea de impulsión'!$D$16),"1","")</f>
        <v>1</v>
      </c>
      <c r="L6" s="41" t="str">
        <f>IF(AND(I6&gt;'Linea de impulsión'!$H$17,I6&lt;'Linea de impulsión'!$H$16),"1","")</f>
        <v>1</v>
      </c>
      <c r="N6" s="407" t="s">
        <v>161</v>
      </c>
      <c r="O6" s="174"/>
      <c r="P6" s="174"/>
      <c r="R6" s="412" t="s">
        <v>592</v>
      </c>
      <c r="S6" s="436">
        <f>Y30</f>
        <v>224640</v>
      </c>
      <c r="V6" s="580" t="s">
        <v>589</v>
      </c>
      <c r="W6" s="581"/>
      <c r="X6" s="356">
        <f>X5*'Datos de entrada'!F16</f>
        <v>87600</v>
      </c>
      <c r="Y6" s="394" t="s">
        <v>491</v>
      </c>
      <c r="AA6" s="471"/>
      <c r="AB6" s="570" t="s">
        <v>612</v>
      </c>
      <c r="AC6" s="149" t="s">
        <v>322</v>
      </c>
      <c r="AD6" s="149" t="s">
        <v>613</v>
      </c>
      <c r="AE6" s="149" t="s">
        <v>614</v>
      </c>
      <c r="AF6" s="149" t="s">
        <v>615</v>
      </c>
      <c r="AG6" s="475" t="s">
        <v>495</v>
      </c>
      <c r="AH6" s="472"/>
      <c r="AI6" s="440"/>
    </row>
    <row r="7" spans="1:35" s="416" customFormat="1" ht="16.5" thickBot="1">
      <c r="B7" s="439"/>
      <c r="C7" s="589" t="s">
        <v>626</v>
      </c>
      <c r="D7" s="590"/>
      <c r="E7" s="480" t="s">
        <v>161</v>
      </c>
      <c r="F7" s="440"/>
      <c r="G7" s="418"/>
      <c r="I7" s="232">
        <v>80</v>
      </c>
      <c r="J7" s="402">
        <v>3</v>
      </c>
      <c r="K7" s="413" t="str">
        <f>IF(AND(I7&gt;'Linea de impulsión'!$D$17,I7&lt;'Linea de impulsión'!$D$16),"1","")</f>
        <v/>
      </c>
      <c r="L7" s="41" t="str">
        <f>IF(AND(I7&gt;'Linea de impulsión'!$H$17,I7&lt;'Linea de impulsión'!$H$16),"1","")</f>
        <v>1</v>
      </c>
      <c r="R7" s="438" t="s">
        <v>577</v>
      </c>
      <c r="S7" s="437">
        <f>SUM(S3:S6)</f>
        <v>25684748.507299997</v>
      </c>
      <c r="AA7" s="471"/>
      <c r="AB7" s="571"/>
      <c r="AC7" s="469" t="s">
        <v>323</v>
      </c>
      <c r="AD7" s="469" t="s">
        <v>448</v>
      </c>
      <c r="AE7" s="469" t="s">
        <v>595</v>
      </c>
      <c r="AF7" s="469" t="s">
        <v>596</v>
      </c>
      <c r="AG7" s="432" t="s">
        <v>597</v>
      </c>
      <c r="AH7" s="472"/>
      <c r="AI7" s="440"/>
    </row>
    <row r="8" spans="1:35" s="416" customFormat="1" ht="16.5" thickBot="1">
      <c r="B8" s="439"/>
      <c r="C8" s="591" t="s">
        <v>482</v>
      </c>
      <c r="D8" s="592"/>
      <c r="E8" s="481" t="s">
        <v>295</v>
      </c>
      <c r="F8" s="440"/>
      <c r="G8" s="418"/>
      <c r="I8" s="235">
        <v>100</v>
      </c>
      <c r="J8" s="404">
        <v>4</v>
      </c>
      <c r="K8" s="415" t="str">
        <f>IF(AND(I8&gt;'Linea de impulsión'!$D$17,I8&lt;'Linea de impulsión'!$D$16),"1","")</f>
        <v/>
      </c>
      <c r="L8" s="417" t="str">
        <f>IF(AND(I8&gt;'Linea de impulsión'!$H$17,I8&lt;'Linea de impulsión'!$H$16),"1","")</f>
        <v/>
      </c>
      <c r="AA8" s="471"/>
      <c r="AB8" s="467" t="str">
        <f>E7</f>
        <v>DRV/A50-155-1.8M</v>
      </c>
      <c r="AC8" s="468">
        <f>VLOOKUP(AB8,$B$17:$G$56,2,FALSE)</f>
        <v>74.552999999999997</v>
      </c>
      <c r="AD8" s="312">
        <f>VLOOKUP(AB8,$B$17:$G$56,3,FALSE)</f>
        <v>0.52070591413189393</v>
      </c>
      <c r="AE8" s="473">
        <f>VLOOKUP(AB8,$B$17:$G$56,4,FALSE)</f>
        <v>1824553.5231181562</v>
      </c>
      <c r="AF8" s="473">
        <f>VLOOKUP(AB8,$B$17:$G$56,5,FALSE)</f>
        <v>21664964.107299998</v>
      </c>
      <c r="AG8" s="474">
        <f>VLOOKUP(AB8,$B$17:$G$56,6,FALSE)</f>
        <v>3700000</v>
      </c>
      <c r="AH8" s="472"/>
      <c r="AI8" s="440"/>
    </row>
    <row r="9" spans="1:35" s="416" customFormat="1" ht="16.5" thickBot="1">
      <c r="B9" s="439"/>
      <c r="C9" s="591" t="s">
        <v>483</v>
      </c>
      <c r="D9" s="592"/>
      <c r="E9" s="481" t="s">
        <v>296</v>
      </c>
      <c r="F9" s="440"/>
      <c r="G9" s="418"/>
      <c r="I9" s="174"/>
      <c r="J9" s="593" t="s">
        <v>616</v>
      </c>
      <c r="K9" s="360" t="s">
        <v>27</v>
      </c>
      <c r="L9" s="405" t="s">
        <v>26</v>
      </c>
      <c r="AA9" s="471"/>
      <c r="AB9" s="472"/>
      <c r="AC9" s="472"/>
      <c r="AD9" s="472"/>
      <c r="AE9" s="472"/>
      <c r="AF9" s="472"/>
      <c r="AG9" s="472"/>
      <c r="AH9" s="472"/>
      <c r="AI9" s="440"/>
    </row>
    <row r="10" spans="1:35" s="416" customFormat="1" ht="16.5" thickBot="1">
      <c r="B10" s="439"/>
      <c r="C10" s="591" t="s">
        <v>586</v>
      </c>
      <c r="D10" s="592"/>
      <c r="E10" s="481">
        <v>2.5</v>
      </c>
      <c r="F10" s="440"/>
      <c r="G10" s="418"/>
      <c r="I10" s="174"/>
      <c r="J10" s="594"/>
      <c r="K10" s="412" t="s">
        <v>295</v>
      </c>
      <c r="L10" s="219" t="s">
        <v>296</v>
      </c>
      <c r="AA10" s="471"/>
      <c r="AB10" s="552" t="s">
        <v>625</v>
      </c>
      <c r="AC10" s="553"/>
      <c r="AD10" s="553"/>
      <c r="AE10" s="553"/>
      <c r="AF10" s="553"/>
      <c r="AG10" s="553"/>
      <c r="AH10" s="554"/>
      <c r="AI10" s="440"/>
    </row>
    <row r="11" spans="1:35" s="416" customFormat="1" ht="15.75">
      <c r="B11" s="439"/>
      <c r="C11" s="591" t="s">
        <v>587</v>
      </c>
      <c r="D11" s="592"/>
      <c r="E11" s="481">
        <v>3</v>
      </c>
      <c r="F11" s="440"/>
      <c r="G11" s="418"/>
      <c r="I11" s="174"/>
      <c r="J11" s="594"/>
      <c r="K11" s="412"/>
      <c r="L11" s="219" t="s">
        <v>297</v>
      </c>
      <c r="AA11" s="471"/>
      <c r="AB11" s="562" t="s">
        <v>621</v>
      </c>
      <c r="AC11" s="558" t="s">
        <v>600</v>
      </c>
      <c r="AD11" s="558" t="s">
        <v>601</v>
      </c>
      <c r="AE11" s="558" t="s">
        <v>602</v>
      </c>
      <c r="AF11" s="558" t="s">
        <v>603</v>
      </c>
      <c r="AG11" s="558" t="s">
        <v>604</v>
      </c>
      <c r="AH11" s="560" t="s">
        <v>605</v>
      </c>
      <c r="AI11" s="440"/>
    </row>
    <row r="12" spans="1:35" s="416" customFormat="1" ht="16.5" thickBot="1">
      <c r="B12" s="439"/>
      <c r="C12" s="555" t="s">
        <v>585</v>
      </c>
      <c r="D12" s="556"/>
      <c r="E12" s="482">
        <v>25684748.507300001</v>
      </c>
      <c r="F12" s="440"/>
      <c r="G12" s="418"/>
      <c r="I12" s="174"/>
      <c r="J12" s="595"/>
      <c r="K12" s="414"/>
      <c r="L12" s="222" t="s">
        <v>298</v>
      </c>
      <c r="AA12" s="471"/>
      <c r="AB12" s="563"/>
      <c r="AC12" s="559"/>
      <c r="AD12" s="559"/>
      <c r="AE12" s="559"/>
      <c r="AF12" s="559"/>
      <c r="AG12" s="559"/>
      <c r="AH12" s="561"/>
      <c r="AI12" s="440"/>
    </row>
    <row r="13" spans="1:35" s="416" customFormat="1" ht="15.75" thickBot="1">
      <c r="B13" s="441"/>
      <c r="C13" s="442"/>
      <c r="D13" s="442"/>
      <c r="E13" s="442"/>
      <c r="F13" s="443"/>
      <c r="G13" s="418"/>
      <c r="AA13" s="471"/>
      <c r="AB13" s="564" t="s">
        <v>502</v>
      </c>
      <c r="AC13" s="565"/>
      <c r="AD13" s="565"/>
      <c r="AE13" s="565"/>
      <c r="AF13" s="565"/>
      <c r="AG13" s="565"/>
      <c r="AH13" s="566"/>
      <c r="AI13" s="440"/>
    </row>
    <row r="14" spans="1:35" ht="16.5" thickTop="1" thickBot="1">
      <c r="G14" s="418"/>
      <c r="I14" s="575" t="s">
        <v>502</v>
      </c>
      <c r="J14" s="576"/>
      <c r="K14" s="576"/>
      <c r="L14" s="576"/>
      <c r="M14" s="576"/>
      <c r="N14" s="576"/>
      <c r="O14" s="576"/>
      <c r="P14" s="577"/>
      <c r="R14" s="575" t="s">
        <v>578</v>
      </c>
      <c r="S14" s="576"/>
      <c r="T14" s="576"/>
      <c r="U14" s="576"/>
      <c r="V14" s="576"/>
      <c r="W14" s="576"/>
      <c r="X14" s="576"/>
      <c r="Y14" s="577"/>
      <c r="AA14" s="471"/>
      <c r="AB14" s="360" t="str">
        <f>J18</f>
        <v>Tubería 2.5"</v>
      </c>
      <c r="AC14" s="390" t="str">
        <f>K18</f>
        <v>ml</v>
      </c>
      <c r="AD14" s="390">
        <f t="shared" ref="AD14:AH14" si="0">L18</f>
        <v>3.3999999999999986</v>
      </c>
      <c r="AE14" s="476">
        <f t="shared" si="0"/>
        <v>6003</v>
      </c>
      <c r="AF14" s="476">
        <f t="shared" si="0"/>
        <v>6003</v>
      </c>
      <c r="AG14" s="476">
        <f t="shared" si="0"/>
        <v>12006</v>
      </c>
      <c r="AH14" s="434">
        <f t="shared" si="0"/>
        <v>40820.39999999998</v>
      </c>
      <c r="AI14" s="440"/>
    </row>
    <row r="15" spans="1:35" ht="15.75" hidden="1" customHeight="1" thickBot="1">
      <c r="B15" s="578" t="s">
        <v>426</v>
      </c>
      <c r="C15" s="431" t="s">
        <v>418</v>
      </c>
      <c r="D15" s="470" t="s">
        <v>41</v>
      </c>
      <c r="E15" s="431" t="s">
        <v>593</v>
      </c>
      <c r="F15" s="431" t="s">
        <v>594</v>
      </c>
      <c r="G15" s="389" t="s">
        <v>617</v>
      </c>
      <c r="I15" s="450" t="s">
        <v>598</v>
      </c>
      <c r="J15" s="451" t="str">
        <f>'Linea de impulsión'!D9</f>
        <v>HD</v>
      </c>
      <c r="K15" s="452">
        <f>HLOOKUP(J15,APU!$A$2:$G$3,2,FALSE)</f>
        <v>7</v>
      </c>
      <c r="L15" s="453"/>
      <c r="M15" s="450" t="s">
        <v>599</v>
      </c>
      <c r="N15" s="461">
        <f>'Linea de impulsión'!D18</f>
        <v>2.5</v>
      </c>
      <c r="O15" s="453"/>
      <c r="P15" s="454"/>
      <c r="Q15" s="416"/>
      <c r="R15" s="450" t="s">
        <v>598</v>
      </c>
      <c r="S15" s="451" t="str">
        <f>'Linea de impulsión'!H9</f>
        <v>GRP</v>
      </c>
      <c r="T15" s="451">
        <f>HLOOKUP(S15,APU!$A$2:$G$3,2,FALSE)</f>
        <v>3</v>
      </c>
      <c r="U15" s="423"/>
      <c r="V15" s="451" t="s">
        <v>599</v>
      </c>
      <c r="W15" s="451">
        <f>'Linea de impulsión'!H18</f>
        <v>3</v>
      </c>
      <c r="X15" s="423"/>
      <c r="Y15" s="424"/>
      <c r="AA15" s="471"/>
      <c r="AB15" s="465"/>
      <c r="AC15" s="466"/>
      <c r="AD15" s="466"/>
      <c r="AE15" s="466"/>
      <c r="AF15" s="466"/>
      <c r="AG15" s="466"/>
      <c r="AH15" s="41"/>
      <c r="AI15" s="440"/>
    </row>
    <row r="16" spans="1:35" ht="15" hidden="1" customHeight="1">
      <c r="B16" s="579"/>
      <c r="C16" s="150" t="s">
        <v>323</v>
      </c>
      <c r="D16" s="150" t="s">
        <v>448</v>
      </c>
      <c r="E16" s="150" t="s">
        <v>595</v>
      </c>
      <c r="F16" s="150" t="s">
        <v>596</v>
      </c>
      <c r="G16" s="449" t="s">
        <v>597</v>
      </c>
      <c r="I16" s="562" t="s">
        <v>618</v>
      </c>
      <c r="J16" s="558"/>
      <c r="K16" s="558" t="s">
        <v>600</v>
      </c>
      <c r="L16" s="558" t="s">
        <v>601</v>
      </c>
      <c r="M16" s="558" t="s">
        <v>602</v>
      </c>
      <c r="N16" s="558" t="s">
        <v>603</v>
      </c>
      <c r="O16" s="558" t="s">
        <v>604</v>
      </c>
      <c r="P16" s="560" t="s">
        <v>605</v>
      </c>
      <c r="Q16" s="416"/>
      <c r="R16" s="562" t="s">
        <v>618</v>
      </c>
      <c r="S16" s="558"/>
      <c r="T16" s="558" t="s">
        <v>600</v>
      </c>
      <c r="U16" s="558" t="s">
        <v>601</v>
      </c>
      <c r="V16" s="558" t="s">
        <v>602</v>
      </c>
      <c r="W16" s="558" t="s">
        <v>603</v>
      </c>
      <c r="X16" s="558" t="s">
        <v>604</v>
      </c>
      <c r="Y16" s="560" t="s">
        <v>605</v>
      </c>
      <c r="AA16" s="471"/>
      <c r="AB16" s="465"/>
      <c r="AC16" s="466"/>
      <c r="AD16" s="466"/>
      <c r="AE16" s="466"/>
      <c r="AF16" s="466"/>
      <c r="AG16" s="466"/>
      <c r="AH16" s="41"/>
      <c r="AI16" s="440"/>
    </row>
    <row r="17" spans="2:35" ht="15.75" hidden="1" customHeight="1" thickBot="1">
      <c r="B17" s="420" t="str">
        <f>IF('Bombas coincidentes'!C17="","",'Bombas coincidentes'!C17)</f>
        <v>DRV/A50-155-1.8M</v>
      </c>
      <c r="C17" s="42">
        <f>IF(B17="","",'Bombas coincidentes'!M17)</f>
        <v>74.552999999999997</v>
      </c>
      <c r="D17" s="42">
        <f>IF(C17="","",$X$3/(C17/100))</f>
        <v>0.52070591413189393</v>
      </c>
      <c r="E17" s="446">
        <f>IF(D17="","",D17*'Datos de entrada'!$F$15*$X$5)</f>
        <v>1824553.5231181562</v>
      </c>
      <c r="F17" s="447">
        <f>IF(E17="","",VPN(E17,'Datos de entrada'!$F$17,'Datos de entrada'!$F$18,'Datos de entrada'!$F$16))</f>
        <v>21664964.107299998</v>
      </c>
      <c r="G17" s="446">
        <f>IF(F17="","",VLOOKUP(B17,'Base de datos'!$C$4:$AI$113,33,FALSE))</f>
        <v>3700000</v>
      </c>
      <c r="I17" s="574"/>
      <c r="J17" s="572"/>
      <c r="K17" s="572"/>
      <c r="L17" s="572"/>
      <c r="M17" s="572"/>
      <c r="N17" s="572"/>
      <c r="O17" s="572"/>
      <c r="P17" s="573"/>
      <c r="Q17" s="416"/>
      <c r="R17" s="574"/>
      <c r="S17" s="572"/>
      <c r="T17" s="572"/>
      <c r="U17" s="572"/>
      <c r="V17" s="572"/>
      <c r="W17" s="572"/>
      <c r="X17" s="572"/>
      <c r="Y17" s="573"/>
      <c r="AA17" s="471"/>
      <c r="AB17" s="465"/>
      <c r="AC17" s="466"/>
      <c r="AD17" s="466"/>
      <c r="AE17" s="466"/>
      <c r="AF17" s="466"/>
      <c r="AG17" s="466"/>
      <c r="AH17" s="41"/>
      <c r="AI17" s="440"/>
    </row>
    <row r="18" spans="2:35" ht="15" hidden="1" customHeight="1">
      <c r="B18" s="420" t="str">
        <f>IF('Bombas coincidentes'!C18="","",'Bombas coincidentes'!C18)</f>
        <v>DRV/A50-140-1.8M</v>
      </c>
      <c r="C18" s="42">
        <f>IF(B18="","",'Bombas coincidentes'!M18)</f>
        <v>69.257999999999996</v>
      </c>
      <c r="D18" s="42">
        <f t="shared" ref="D18:D56" si="1">IF(C18="","",$X$3/(C18/100))</f>
        <v>0.56051557966263954</v>
      </c>
      <c r="E18" s="446">
        <f>IF(D18="","",D18*'Datos de entrada'!$F$15*$X$5)</f>
        <v>1964046.5911378891</v>
      </c>
      <c r="F18" s="447">
        <f>IF(E18="","",VPN(E18,'Datos de entrada'!$F$17,'Datos de entrada'!$F$18,'Datos de entrada'!$F$16))</f>
        <v>23321321.278099999</v>
      </c>
      <c r="G18" s="446">
        <f>IF(F18="","",VLOOKUP(B18,'Base de datos'!$C$4:$AI$113,33,FALSE))</f>
        <v>3600000</v>
      </c>
      <c r="I18" s="455" t="s">
        <v>606</v>
      </c>
      <c r="J18" s="390" t="str">
        <f>CONCATENATE(I18," ",$N$15,"""")</f>
        <v>Tubería 2.5"</v>
      </c>
      <c r="K18" s="456" t="s">
        <v>607</v>
      </c>
      <c r="L18" s="444">
        <f>'Linea de impulsión'!D10</f>
        <v>3.3999999999999986</v>
      </c>
      <c r="M18" s="445">
        <f>VLOOKUP(J18,APU!$A$4:$G$51,$K$15,FALSE)</f>
        <v>6003</v>
      </c>
      <c r="N18" s="445">
        <f>VLOOKUP(J18,APU!$I$4:$O$51,$K$15,FALSE)</f>
        <v>6003</v>
      </c>
      <c r="O18" s="445">
        <f t="shared" ref="O18:O29" si="2">M18+N18</f>
        <v>12006</v>
      </c>
      <c r="P18" s="457">
        <f t="shared" ref="P18:P29" si="3">O18*L18</f>
        <v>40820.39999999998</v>
      </c>
      <c r="Q18" s="416"/>
      <c r="R18" s="455" t="s">
        <v>606</v>
      </c>
      <c r="S18" s="390" t="str">
        <f>CONCATENATE(R18," ",$W$15,"""")</f>
        <v>Tubería 3"</v>
      </c>
      <c r="T18" s="456" t="s">
        <v>607</v>
      </c>
      <c r="U18" s="444">
        <f>'Linea de impulsión'!H10</f>
        <v>50</v>
      </c>
      <c r="V18" s="445">
        <f>VLOOKUP(S18,APU!$A$4:$G$51,$T$15,FALSE)</f>
        <v>2004</v>
      </c>
      <c r="W18" s="445">
        <f>VLOOKUP(S18,APU!$I$4:$O$51,$T$15,FALSE)</f>
        <v>2004</v>
      </c>
      <c r="X18" s="445">
        <f t="shared" ref="X18:X29" si="4">V18+W18</f>
        <v>4008</v>
      </c>
      <c r="Y18" s="457">
        <f t="shared" ref="Y18:Y29" si="5">X18*U18</f>
        <v>200400</v>
      </c>
      <c r="AA18" s="471"/>
      <c r="AB18" s="465"/>
      <c r="AC18" s="466"/>
      <c r="AD18" s="466"/>
      <c r="AE18" s="466"/>
      <c r="AF18" s="466"/>
      <c r="AG18" s="466"/>
      <c r="AH18" s="41"/>
      <c r="AI18" s="440"/>
    </row>
    <row r="19" spans="2:35" ht="15" hidden="1" customHeight="1">
      <c r="B19" s="420" t="str">
        <f>IF('Bombas coincidentes'!C19="","",'Bombas coincidentes'!C19)</f>
        <v>DRV/A50-140-1.4</v>
      </c>
      <c r="C19" s="42">
        <f>IF(B19="","",'Bombas coincidentes'!M19)</f>
        <v>69.257999999999996</v>
      </c>
      <c r="D19" s="42">
        <f t="shared" si="1"/>
        <v>0.56051557966263954</v>
      </c>
      <c r="E19" s="446">
        <f>IF(D19="","",D19*'Datos de entrada'!$F$15*$X$5)</f>
        <v>1964046.5911378891</v>
      </c>
      <c r="F19" s="447">
        <f>IF(E19="","",VPN(E19,'Datos de entrada'!$F$17,'Datos de entrada'!$F$18,'Datos de entrada'!$F$16))</f>
        <v>23321321.278099999</v>
      </c>
      <c r="G19" s="446">
        <f>IF(F19="","",VLOOKUP(B19,'Base de datos'!$C$4:$AI$113,33,FALSE))</f>
        <v>3800000</v>
      </c>
      <c r="I19" s="419" t="s">
        <v>432</v>
      </c>
      <c r="J19" s="420" t="str">
        <f t="shared" ref="J19:J29" si="6">CONCATENATE(I19," ",$N$15,"""")</f>
        <v>Codo 90 radio corto 2.5"</v>
      </c>
      <c r="K19" s="391" t="s">
        <v>608</v>
      </c>
      <c r="L19" s="42">
        <f>'Datos de entrada'!F27</f>
        <v>0</v>
      </c>
      <c r="M19" s="447">
        <f>VLOOKUP(J19,APU!$A$4:$G$51,$K$15,FALSE)</f>
        <v>6009</v>
      </c>
      <c r="N19" s="447">
        <f>VLOOKUP(J19,APU!$I$4:$O$51,$K$15,FALSE)</f>
        <v>6009</v>
      </c>
      <c r="O19" s="447">
        <f t="shared" si="2"/>
        <v>12018</v>
      </c>
      <c r="P19" s="458">
        <f t="shared" si="3"/>
        <v>0</v>
      </c>
      <c r="Q19" s="416"/>
      <c r="R19" s="419" t="s">
        <v>432</v>
      </c>
      <c r="S19" s="420" t="str">
        <f t="shared" ref="S19:S29" si="7">CONCATENATE(R19," ",$W$15,"""")</f>
        <v>Codo 90 radio corto 3"</v>
      </c>
      <c r="T19" s="391" t="s">
        <v>608</v>
      </c>
      <c r="U19" s="42">
        <f>'Datos de entrada'!G27</f>
        <v>3</v>
      </c>
      <c r="V19" s="447">
        <f>VLOOKUP(S19,APU!$A$4:$G$51,$T$15,FALSE)</f>
        <v>2010</v>
      </c>
      <c r="W19" s="447">
        <f>VLOOKUP(S19,APU!$I$4:$O$51,$T$15,FALSE)</f>
        <v>2010</v>
      </c>
      <c r="X19" s="447">
        <f t="shared" si="4"/>
        <v>4020</v>
      </c>
      <c r="Y19" s="458">
        <f t="shared" si="5"/>
        <v>12060</v>
      </c>
      <c r="AA19" s="471"/>
      <c r="AB19" s="465"/>
      <c r="AC19" s="466"/>
      <c r="AD19" s="466"/>
      <c r="AE19" s="466"/>
      <c r="AF19" s="466"/>
      <c r="AG19" s="466"/>
      <c r="AH19" s="41"/>
      <c r="AI19" s="440"/>
    </row>
    <row r="20" spans="2:35" ht="15" hidden="1" customHeight="1">
      <c r="B20" s="420" t="str">
        <f>IF('Bombas coincidentes'!C20="","",'Bombas coincidentes'!C20)</f>
        <v>DRV/A65-119-2.3</v>
      </c>
      <c r="C20" s="42">
        <f>IF(B20="","",'Bombas coincidentes'!M20)</f>
        <v>66.082999999999998</v>
      </c>
      <c r="D20" s="42">
        <f t="shared" si="1"/>
        <v>0.58744590917898831</v>
      </c>
      <c r="E20" s="446">
        <f>IF(D20="","",D20*'Datos de entrada'!$F$15*$X$5)</f>
        <v>2058410.4657631752</v>
      </c>
      <c r="F20" s="447">
        <f>IF(E20="","",VPN(E20,'Datos de entrada'!$F$17,'Datos de entrada'!$F$18,'Datos de entrada'!$F$16))</f>
        <v>24441809.075599998</v>
      </c>
      <c r="G20" s="446">
        <f>IF(F20="","",VLOOKUP(B20,'Base de datos'!$C$4:$AI$113,33,FALSE))</f>
        <v>4200000</v>
      </c>
      <c r="I20" s="419" t="s">
        <v>433</v>
      </c>
      <c r="J20" s="420" t="str">
        <f t="shared" si="6"/>
        <v>Codo 90 radio medio 2.5"</v>
      </c>
      <c r="K20" s="391" t="s">
        <v>608</v>
      </c>
      <c r="L20" s="42">
        <f>'Datos de entrada'!F28</f>
        <v>0</v>
      </c>
      <c r="M20" s="447">
        <f>VLOOKUP(J20,APU!$A$4:$G$51,$K$15,FALSE)</f>
        <v>6015</v>
      </c>
      <c r="N20" s="447">
        <f>VLOOKUP(J20,APU!$I$4:$O$51,$K$15,FALSE)</f>
        <v>6015</v>
      </c>
      <c r="O20" s="447">
        <f t="shared" si="2"/>
        <v>12030</v>
      </c>
      <c r="P20" s="458">
        <f t="shared" si="3"/>
        <v>0</v>
      </c>
      <c r="Q20" s="416"/>
      <c r="R20" s="419" t="s">
        <v>433</v>
      </c>
      <c r="S20" s="420" t="str">
        <f t="shared" si="7"/>
        <v>Codo 90 radio medio 3"</v>
      </c>
      <c r="T20" s="391" t="s">
        <v>608</v>
      </c>
      <c r="U20" s="42">
        <f>'Datos de entrada'!G28</f>
        <v>0</v>
      </c>
      <c r="V20" s="447">
        <f>VLOOKUP(S20,APU!$A$4:$G$51,$T$15,FALSE)</f>
        <v>2016</v>
      </c>
      <c r="W20" s="447">
        <f>VLOOKUP(S20,APU!$I$4:$O$51,$T$15,FALSE)</f>
        <v>2016</v>
      </c>
      <c r="X20" s="447">
        <f t="shared" si="4"/>
        <v>4032</v>
      </c>
      <c r="Y20" s="458">
        <f t="shared" si="5"/>
        <v>0</v>
      </c>
      <c r="AA20" s="471"/>
      <c r="AB20" s="465"/>
      <c r="AC20" s="466"/>
      <c r="AD20" s="466"/>
      <c r="AE20" s="466"/>
      <c r="AF20" s="466"/>
      <c r="AG20" s="466"/>
      <c r="AH20" s="41"/>
      <c r="AI20" s="440"/>
    </row>
    <row r="21" spans="2:35" ht="15" hidden="1" customHeight="1">
      <c r="B21" s="420" t="str">
        <f>IF('Bombas coincidentes'!C21="","",'Bombas coincidentes'!C21)</f>
        <v>FEKA 2500.4T</v>
      </c>
      <c r="C21" s="42">
        <f>IF(B21="","",'Bombas coincidentes'!M21)</f>
        <v>65.769000000000005</v>
      </c>
      <c r="D21" s="42">
        <f t="shared" si="1"/>
        <v>0.5902505438166169</v>
      </c>
      <c r="E21" s="446">
        <f>IF(D21="","",D21*'Datos de entrada'!$F$15*$X$5)</f>
        <v>2068237.9055334255</v>
      </c>
      <c r="F21" s="447">
        <f>IF(E21="","",VPN(E21,'Datos de entrada'!$F$17,'Datos de entrada'!$F$18,'Datos de entrada'!$F$16))</f>
        <v>24558501.2557</v>
      </c>
      <c r="G21" s="446">
        <f>IF(F21="","",VLOOKUP(B21,'Base de datos'!$C$4:$AI$113,33,FALSE))</f>
        <v>4300000</v>
      </c>
      <c r="I21" s="419" t="s">
        <v>434</v>
      </c>
      <c r="J21" s="420" t="str">
        <f t="shared" si="6"/>
        <v>Codo 90 gran radio 2.5"</v>
      </c>
      <c r="K21" s="391" t="s">
        <v>608</v>
      </c>
      <c r="L21" s="42">
        <f>'Datos de entrada'!F29</f>
        <v>1</v>
      </c>
      <c r="M21" s="447">
        <f>VLOOKUP(J21,APU!$A$4:$G$51,$K$15,FALSE)</f>
        <v>6021</v>
      </c>
      <c r="N21" s="447">
        <f>VLOOKUP(J21,APU!$I$4:$O$51,$K$15,FALSE)</f>
        <v>6021</v>
      </c>
      <c r="O21" s="447">
        <f t="shared" si="2"/>
        <v>12042</v>
      </c>
      <c r="P21" s="458">
        <f t="shared" si="3"/>
        <v>12042</v>
      </c>
      <c r="Q21" s="416"/>
      <c r="R21" s="419" t="s">
        <v>434</v>
      </c>
      <c r="S21" s="420" t="str">
        <f t="shared" si="7"/>
        <v>Codo 90 gran radio 3"</v>
      </c>
      <c r="T21" s="391" t="s">
        <v>608</v>
      </c>
      <c r="U21" s="42">
        <f>'Datos de entrada'!G29</f>
        <v>0</v>
      </c>
      <c r="V21" s="447">
        <f>VLOOKUP(S21,APU!$A$4:$G$51,$T$15,FALSE)</f>
        <v>2022</v>
      </c>
      <c r="W21" s="447">
        <f>VLOOKUP(S21,APU!$I$4:$O$51,$T$15,FALSE)</f>
        <v>2022</v>
      </c>
      <c r="X21" s="447">
        <f t="shared" si="4"/>
        <v>4044</v>
      </c>
      <c r="Y21" s="458">
        <f t="shared" si="5"/>
        <v>0</v>
      </c>
      <c r="AA21" s="471"/>
      <c r="AB21" s="465"/>
      <c r="AC21" s="466"/>
      <c r="AD21" s="466"/>
      <c r="AE21" s="466"/>
      <c r="AF21" s="466"/>
      <c r="AG21" s="466"/>
      <c r="AH21" s="41"/>
      <c r="AI21" s="440"/>
    </row>
    <row r="22" spans="2:35" ht="15" hidden="1" customHeight="1">
      <c r="B22" s="420" t="str">
        <f>IF('Bombas coincidentes'!C22="","",'Bombas coincidentes'!C22)</f>
        <v>ARS 50-14MI/1,4</v>
      </c>
      <c r="C22" s="42">
        <f>IF(B22="","",'Bombas coincidentes'!M22)</f>
        <v>65.504000000000005</v>
      </c>
      <c r="D22" s="42">
        <f t="shared" si="1"/>
        <v>0.59263843454254828</v>
      </c>
      <c r="E22" s="446">
        <f>IF(D22="","",D22*'Datos de entrada'!$F$15*$X$5)</f>
        <v>2076605.0746370892</v>
      </c>
      <c r="F22" s="447">
        <f>IF(E22="","",VPN(E22,'Datos de entrada'!$F$17,'Datos de entrada'!$F$18,'Datos de entrada'!$F$16))</f>
        <v>24657854.010200001</v>
      </c>
      <c r="G22" s="446">
        <f>IF(F22="","",VLOOKUP(B22,'Base de datos'!$C$4:$AI$113,33,FALSE))</f>
        <v>4800000</v>
      </c>
      <c r="I22" s="419" t="s">
        <v>33</v>
      </c>
      <c r="J22" s="420" t="str">
        <f t="shared" si="6"/>
        <v>Codo 45 2.5"</v>
      </c>
      <c r="K22" s="391" t="s">
        <v>608</v>
      </c>
      <c r="L22" s="42">
        <f>'Datos de entrada'!F30</f>
        <v>0</v>
      </c>
      <c r="M22" s="447">
        <f>VLOOKUP(J22,APU!$A$4:$G$51,$K$15,FALSE)</f>
        <v>6027</v>
      </c>
      <c r="N22" s="447">
        <f>VLOOKUP(J22,APU!$I$4:$O$51,$K$15,FALSE)</f>
        <v>6027</v>
      </c>
      <c r="O22" s="447">
        <f t="shared" si="2"/>
        <v>12054</v>
      </c>
      <c r="P22" s="458">
        <f t="shared" si="3"/>
        <v>0</v>
      </c>
      <c r="Q22" s="416"/>
      <c r="R22" s="419" t="s">
        <v>33</v>
      </c>
      <c r="S22" s="420" t="str">
        <f t="shared" si="7"/>
        <v>Codo 45 3"</v>
      </c>
      <c r="T22" s="391" t="s">
        <v>608</v>
      </c>
      <c r="U22" s="42">
        <f>'Datos de entrada'!G30</f>
        <v>2</v>
      </c>
      <c r="V22" s="447">
        <f>VLOOKUP(S22,APU!$A$4:$G$51,$T$15,FALSE)</f>
        <v>2028</v>
      </c>
      <c r="W22" s="447">
        <f>VLOOKUP(S22,APU!$I$4:$O$51,$T$15,FALSE)</f>
        <v>2028</v>
      </c>
      <c r="X22" s="447">
        <f t="shared" si="4"/>
        <v>4056</v>
      </c>
      <c r="Y22" s="458">
        <f t="shared" si="5"/>
        <v>8112</v>
      </c>
      <c r="AA22" s="471"/>
      <c r="AB22" s="465"/>
      <c r="AC22" s="466"/>
      <c r="AD22" s="466"/>
      <c r="AE22" s="466"/>
      <c r="AF22" s="466"/>
      <c r="AG22" s="466"/>
      <c r="AH22" s="41"/>
      <c r="AI22" s="440"/>
    </row>
    <row r="23" spans="2:35" ht="15" hidden="1" customHeight="1">
      <c r="B23" s="420" t="str">
        <f>IF('Bombas coincidentes'!C23="","",'Bombas coincidentes'!C23)</f>
        <v>AS0630 S13/4D</v>
      </c>
      <c r="C23" s="42">
        <f>IF(B23="","",'Bombas coincidentes'!M23)</f>
        <v>64.158999999999992</v>
      </c>
      <c r="D23" s="42">
        <f t="shared" si="1"/>
        <v>0.60506223626108724</v>
      </c>
      <c r="E23" s="446">
        <f>IF(D23="","",D23*'Datos de entrada'!$F$15*$X$5)</f>
        <v>2120138.0758588496</v>
      </c>
      <c r="F23" s="447">
        <f>IF(E23="","",VPN(E23,'Datos de entrada'!$F$17,'Datos de entrada'!$F$18,'Datos de entrada'!$F$16))</f>
        <v>25174770.011100002</v>
      </c>
      <c r="G23" s="446">
        <f>IF(F23="","",VLOOKUP(B23,'Base de datos'!$C$4:$AI$113,33,FALSE))</f>
        <v>3600000</v>
      </c>
      <c r="I23" s="419" t="s">
        <v>609</v>
      </c>
      <c r="J23" s="420" t="str">
        <f t="shared" si="6"/>
        <v>Tee 2.5"</v>
      </c>
      <c r="K23" s="391" t="s">
        <v>608</v>
      </c>
      <c r="L23" s="42">
        <f>'Datos de entrada'!F31+'Datos de entrada'!F32</f>
        <v>2</v>
      </c>
      <c r="M23" s="447">
        <f>VLOOKUP(J23,APU!$A$4:$G$51,$K$15,FALSE)</f>
        <v>6033</v>
      </c>
      <c r="N23" s="447">
        <f>VLOOKUP(J23,APU!$I$4:$O$51,$K$15,FALSE)</f>
        <v>6033</v>
      </c>
      <c r="O23" s="447">
        <f t="shared" si="2"/>
        <v>12066</v>
      </c>
      <c r="P23" s="458">
        <f t="shared" si="3"/>
        <v>24132</v>
      </c>
      <c r="Q23" s="416"/>
      <c r="R23" s="419" t="s">
        <v>609</v>
      </c>
      <c r="S23" s="420" t="str">
        <f t="shared" si="7"/>
        <v>Tee 3"</v>
      </c>
      <c r="T23" s="391" t="s">
        <v>608</v>
      </c>
      <c r="U23" s="42">
        <f>'Datos de entrada'!G31+'Datos de entrada'!G32</f>
        <v>1</v>
      </c>
      <c r="V23" s="447">
        <f>VLOOKUP(S23,APU!$A$4:$G$51,$T$15,FALSE)</f>
        <v>2034</v>
      </c>
      <c r="W23" s="447">
        <f>VLOOKUP(S23,APU!$I$4:$O$51,$T$15,FALSE)</f>
        <v>2034</v>
      </c>
      <c r="X23" s="447">
        <f t="shared" si="4"/>
        <v>4068</v>
      </c>
      <c r="Y23" s="458">
        <f t="shared" si="5"/>
        <v>4068</v>
      </c>
      <c r="AA23" s="471"/>
      <c r="AB23" s="465"/>
      <c r="AC23" s="466"/>
      <c r="AD23" s="466"/>
      <c r="AE23" s="466"/>
      <c r="AF23" s="466"/>
      <c r="AG23" s="466"/>
      <c r="AH23" s="41"/>
      <c r="AI23" s="440"/>
    </row>
    <row r="24" spans="2:35" ht="15" hidden="1" customHeight="1">
      <c r="B24" s="420" t="str">
        <f>IF('Bombas coincidentes'!C24="","",'Bombas coincidentes'!C24)</f>
        <v>FEKA 3030.2T</v>
      </c>
      <c r="C24" s="42">
        <f>IF(B24="","",'Bombas coincidentes'!M24)</f>
        <v>64.106999999999999</v>
      </c>
      <c r="D24" s="42">
        <f t="shared" si="1"/>
        <v>0.60555302878429951</v>
      </c>
      <c r="E24" s="446">
        <f>IF(D24="","",D24*'Datos de entrada'!$F$15*$X$5)</f>
        <v>2121857.8128601853</v>
      </c>
      <c r="F24" s="447">
        <f>IF(E24="","",VPN(E24,'Datos de entrada'!$F$17,'Datos de entrada'!$F$18,'Datos de entrada'!$F$16))</f>
        <v>25195190.371399999</v>
      </c>
      <c r="G24" s="446">
        <f>IF(F24="","",VLOOKUP(B24,'Base de datos'!$C$4:$AI$113,33,FALSE))</f>
        <v>4800000</v>
      </c>
      <c r="I24" s="419" t="s">
        <v>35</v>
      </c>
      <c r="J24" s="420" t="str">
        <f t="shared" si="6"/>
        <v>Uniones 2.5"</v>
      </c>
      <c r="K24" s="391" t="s">
        <v>608</v>
      </c>
      <c r="L24" s="42">
        <f>'Datos de entrada'!F33</f>
        <v>1</v>
      </c>
      <c r="M24" s="447">
        <f>VLOOKUP(J24,APU!$A$4:$G$51,$K$15,FALSE)</f>
        <v>6039</v>
      </c>
      <c r="N24" s="447">
        <f>VLOOKUP(J24,APU!$I$4:$O$51,$K$15,FALSE)</f>
        <v>6039</v>
      </c>
      <c r="O24" s="447">
        <f t="shared" si="2"/>
        <v>12078</v>
      </c>
      <c r="P24" s="458">
        <f t="shared" si="3"/>
        <v>12078</v>
      </c>
      <c r="Q24" s="416"/>
      <c r="R24" s="419" t="s">
        <v>35</v>
      </c>
      <c r="S24" s="420" t="str">
        <f t="shared" si="7"/>
        <v>Uniones 3"</v>
      </c>
      <c r="T24" s="391" t="s">
        <v>608</v>
      </c>
      <c r="U24" s="42">
        <f>'Datos de entrada'!G33</f>
        <v>0</v>
      </c>
      <c r="V24" s="447">
        <f>VLOOKUP(S24,APU!$A$4:$G$51,$T$15,FALSE)</f>
        <v>2040</v>
      </c>
      <c r="W24" s="447">
        <f>VLOOKUP(S24,APU!$I$4:$O$51,$T$15,FALSE)</f>
        <v>2040</v>
      </c>
      <c r="X24" s="447">
        <f t="shared" si="4"/>
        <v>4080</v>
      </c>
      <c r="Y24" s="458">
        <f t="shared" si="5"/>
        <v>0</v>
      </c>
      <c r="AA24" s="471"/>
      <c r="AB24" s="465"/>
      <c r="AC24" s="466"/>
      <c r="AD24" s="466"/>
      <c r="AE24" s="466"/>
      <c r="AF24" s="466"/>
      <c r="AG24" s="466"/>
      <c r="AH24" s="41"/>
      <c r="AI24" s="440"/>
    </row>
    <row r="25" spans="2:35" ht="15" hidden="1" customHeight="1">
      <c r="B25" s="420" t="str">
        <f>IF('Bombas coincidentes'!C25="","",'Bombas coincidentes'!C25)</f>
        <v>FEKA 1400 M</v>
      </c>
      <c r="C25" s="42">
        <f>IF(B25="","",'Bombas coincidentes'!M25)</f>
        <v>62.569000000000003</v>
      </c>
      <c r="D25" s="42">
        <f t="shared" si="1"/>
        <v>0.62043804465909769</v>
      </c>
      <c r="E25" s="446">
        <f>IF(D25="","",D25*'Datos de entrada'!$F$15*$X$5)</f>
        <v>2174014.9084854783</v>
      </c>
      <c r="F25" s="447">
        <f>IF(E25="","",VPN(E25,'Datos de entrada'!$F$17,'Datos de entrada'!$F$18,'Datos de entrada'!$F$16))</f>
        <v>25814509.886999998</v>
      </c>
      <c r="G25" s="446">
        <f>IF(F25="","",VLOOKUP(B25,'Base de datos'!$C$4:$AI$113,33,FALSE))</f>
        <v>3400000</v>
      </c>
      <c r="I25" s="419" t="s">
        <v>610</v>
      </c>
      <c r="J25" s="420" t="str">
        <f t="shared" si="6"/>
        <v>Yee 2.5"</v>
      </c>
      <c r="K25" s="391" t="s">
        <v>608</v>
      </c>
      <c r="L25" s="42">
        <f>'Datos de entrada'!F34+'Datos de entrada'!F35</f>
        <v>0</v>
      </c>
      <c r="M25" s="447">
        <f>VLOOKUP(J25,APU!$A$4:$G$51,$K$15,FALSE)</f>
        <v>6045</v>
      </c>
      <c r="N25" s="447">
        <f>VLOOKUP(J25,APU!$I$4:$O$51,$K$15,FALSE)</f>
        <v>6045</v>
      </c>
      <c r="O25" s="447">
        <f t="shared" si="2"/>
        <v>12090</v>
      </c>
      <c r="P25" s="458">
        <f t="shared" si="3"/>
        <v>0</v>
      </c>
      <c r="Q25" s="416"/>
      <c r="R25" s="419" t="s">
        <v>610</v>
      </c>
      <c r="S25" s="420" t="str">
        <f t="shared" si="7"/>
        <v>Yee 3"</v>
      </c>
      <c r="T25" s="391" t="s">
        <v>608</v>
      </c>
      <c r="U25" s="42">
        <f>'Datos de entrada'!G34+'Datos de entrada'!G35</f>
        <v>0</v>
      </c>
      <c r="V25" s="447">
        <f>VLOOKUP(S25,APU!$A$4:$G$51,$T$15,FALSE)</f>
        <v>2046</v>
      </c>
      <c r="W25" s="447">
        <f>VLOOKUP(S25,APU!$I$4:$O$51,$T$15,FALSE)</f>
        <v>2046</v>
      </c>
      <c r="X25" s="447">
        <f t="shared" si="4"/>
        <v>4092</v>
      </c>
      <c r="Y25" s="458">
        <f t="shared" si="5"/>
        <v>0</v>
      </c>
      <c r="AA25" s="471"/>
      <c r="AB25" s="465"/>
      <c r="AC25" s="466"/>
      <c r="AD25" s="466"/>
      <c r="AE25" s="466"/>
      <c r="AF25" s="466"/>
      <c r="AG25" s="466"/>
      <c r="AH25" s="41"/>
      <c r="AI25" s="440"/>
    </row>
    <row r="26" spans="2:35" ht="15" hidden="1" customHeight="1">
      <c r="B26" s="420" t="str">
        <f>IF('Bombas coincidentes'!C26="","",'Bombas coincidentes'!C26)</f>
        <v>AS0840 S12/2W</v>
      </c>
      <c r="C26" s="42">
        <f>IF(B26="","",'Bombas coincidentes'!M26)</f>
        <v>62.511000000000003</v>
      </c>
      <c r="D26" s="42">
        <f t="shared" si="1"/>
        <v>0.62101370984746818</v>
      </c>
      <c r="E26" s="446">
        <f>IF(D26="","",D26*'Datos de entrada'!$F$15*$X$5)</f>
        <v>2176032.0393055286</v>
      </c>
      <c r="F26" s="447">
        <f>IF(E26="","",VPN(E26,'Datos de entrada'!$F$17,'Datos de entrada'!$F$18,'Datos de entrada'!$F$16))</f>
        <v>25838461.536499999</v>
      </c>
      <c r="G26" s="446">
        <f>IF(F26="","",VLOOKUP(B26,'Base de datos'!$C$4:$AI$113,33,FALSE))</f>
        <v>5200000</v>
      </c>
      <c r="I26" s="419" t="s">
        <v>40</v>
      </c>
      <c r="J26" s="420" t="str">
        <f t="shared" si="6"/>
        <v>Válvula de globo 2.5"</v>
      </c>
      <c r="K26" s="391" t="s">
        <v>608</v>
      </c>
      <c r="L26" s="42">
        <f>'Datos de entrada'!F23</f>
        <v>0</v>
      </c>
      <c r="M26" s="447">
        <f>VLOOKUP(J26,APU!$Q$3:$S$26,2,FALSE)</f>
        <v>1003</v>
      </c>
      <c r="N26" s="447">
        <f>VLOOKUP(J26,APU!$Q$3:$S$26,3,FALSE)</f>
        <v>2003</v>
      </c>
      <c r="O26" s="447">
        <f t="shared" si="2"/>
        <v>3006</v>
      </c>
      <c r="P26" s="458">
        <f t="shared" si="3"/>
        <v>0</v>
      </c>
      <c r="Q26" s="416"/>
      <c r="R26" s="419" t="s">
        <v>40</v>
      </c>
      <c r="S26" s="420" t="str">
        <f t="shared" si="7"/>
        <v>Válvula de globo 3"</v>
      </c>
      <c r="T26" s="391" t="s">
        <v>608</v>
      </c>
      <c r="U26" s="42">
        <f>'Datos de entrada'!G23</f>
        <v>0</v>
      </c>
      <c r="V26" s="447">
        <f>VLOOKUP(S26,APU!$Q$3:$S$26,2,FALSE)</f>
        <v>1004</v>
      </c>
      <c r="W26" s="447">
        <f>VLOOKUP(S26,APU!$Q$3:$S$26,3,FALSE)</f>
        <v>2004</v>
      </c>
      <c r="X26" s="447">
        <f t="shared" si="4"/>
        <v>3008</v>
      </c>
      <c r="Y26" s="458">
        <f t="shared" si="5"/>
        <v>0</v>
      </c>
      <c r="AA26" s="471"/>
      <c r="AB26" s="465"/>
      <c r="AC26" s="466"/>
      <c r="AD26" s="466"/>
      <c r="AE26" s="466"/>
      <c r="AF26" s="466"/>
      <c r="AG26" s="466"/>
      <c r="AH26" s="41"/>
      <c r="AI26" s="440"/>
    </row>
    <row r="27" spans="2:35" ht="15" hidden="1" customHeight="1">
      <c r="B27" s="420" t="str">
        <f>IF('Bombas coincidentes'!C27="","",'Bombas coincidentes'!C27)</f>
        <v>ARS 80-18V/1,7</v>
      </c>
      <c r="C27" s="42">
        <f>IF(B27="","",'Bombas coincidentes'!M27)</f>
        <v>61.814999999999998</v>
      </c>
      <c r="D27" s="42">
        <f t="shared" si="1"/>
        <v>0.62800595351088062</v>
      </c>
      <c r="E27" s="446">
        <f>IF(D27="","",D27*'Datos de entrada'!$F$15*$X$5)</f>
        <v>2200532.8611021256</v>
      </c>
      <c r="F27" s="447">
        <f>IF(E27="","",VPN(E27,'Datos de entrada'!$F$17,'Datos de entrada'!$F$18,'Datos de entrada'!$F$16))</f>
        <v>26129387.189300001</v>
      </c>
      <c r="G27" s="446">
        <f>IF(F27="","",VLOOKUP(B27,'Base de datos'!$C$4:$AI$113,33,FALSE))</f>
        <v>4300000</v>
      </c>
      <c r="I27" s="419" t="s">
        <v>430</v>
      </c>
      <c r="J27" s="420" t="str">
        <f t="shared" si="6"/>
        <v>Válvula de mariposa 2.5"</v>
      </c>
      <c r="K27" s="391" t="s">
        <v>608</v>
      </c>
      <c r="L27" s="42">
        <f>'Datos de entrada'!F24</f>
        <v>0</v>
      </c>
      <c r="M27" s="447">
        <f>VLOOKUP(J27,APU!$Q$3:$S$26,2,FALSE)</f>
        <v>1009</v>
      </c>
      <c r="N27" s="447">
        <f>VLOOKUP(J27,APU!$Q$3:$S$26,3,FALSE)</f>
        <v>2009</v>
      </c>
      <c r="O27" s="447">
        <f t="shared" si="2"/>
        <v>3018</v>
      </c>
      <c r="P27" s="458">
        <f t="shared" si="3"/>
        <v>0</v>
      </c>
      <c r="Q27" s="416"/>
      <c r="R27" s="419" t="s">
        <v>430</v>
      </c>
      <c r="S27" s="420" t="str">
        <f t="shared" si="7"/>
        <v>Válvula de mariposa 3"</v>
      </c>
      <c r="T27" s="391" t="s">
        <v>608</v>
      </c>
      <c r="U27" s="42">
        <f>'Datos de entrada'!G24</f>
        <v>0</v>
      </c>
      <c r="V27" s="447">
        <f>VLOOKUP(S27,APU!$Q$3:$S$26,2,FALSE)</f>
        <v>1010</v>
      </c>
      <c r="W27" s="447">
        <f>VLOOKUP(S27,APU!$Q$3:$S$26,3,FALSE)</f>
        <v>2010</v>
      </c>
      <c r="X27" s="447">
        <f t="shared" si="4"/>
        <v>3020</v>
      </c>
      <c r="Y27" s="458">
        <f t="shared" si="5"/>
        <v>0</v>
      </c>
      <c r="AA27" s="471"/>
      <c r="AB27" s="465"/>
      <c r="AC27" s="466"/>
      <c r="AD27" s="466"/>
      <c r="AE27" s="466"/>
      <c r="AF27" s="466"/>
      <c r="AG27" s="466"/>
      <c r="AH27" s="41"/>
      <c r="AI27" s="440"/>
    </row>
    <row r="28" spans="2:35" ht="15" hidden="1" customHeight="1">
      <c r="B28" s="420" t="str">
        <f>IF('Bombas coincidentes'!C28="","",'Bombas coincidentes'!C28)</f>
        <v>ARS 50-16V/1,8</v>
      </c>
      <c r="C28" s="42">
        <f>IF(B28="","",'Bombas coincidentes'!M28)</f>
        <v>54.322000000000003</v>
      </c>
      <c r="D28" s="42">
        <f t="shared" si="1"/>
        <v>0.71463105217545531</v>
      </c>
      <c r="E28" s="446">
        <f>IF(D28="","",D28*'Datos de entrada'!$F$15*$X$5)</f>
        <v>2504067.2068227953</v>
      </c>
      <c r="F28" s="447">
        <f>IF(E28="","",VPN(E28,'Datos de entrada'!$F$17,'Datos de entrada'!$F$18,'Datos de entrada'!$F$16))</f>
        <v>29733589.873300001</v>
      </c>
      <c r="G28" s="446">
        <f>IF(F28="","",VLOOKUP(B28,'Base de datos'!$C$4:$AI$113,33,FALSE))</f>
        <v>3100000</v>
      </c>
      <c r="I28" s="419" t="s">
        <v>431</v>
      </c>
      <c r="J28" s="420" t="str">
        <f t="shared" si="6"/>
        <v>Válvula de Cheque 2.5"</v>
      </c>
      <c r="K28" s="391" t="s">
        <v>608</v>
      </c>
      <c r="L28" s="42">
        <f>'Datos de entrada'!F25</f>
        <v>1</v>
      </c>
      <c r="M28" s="447">
        <f>VLOOKUP(J28,APU!$Q$3:$S$26,2,FALSE)</f>
        <v>1015</v>
      </c>
      <c r="N28" s="447">
        <f>VLOOKUP(J28,APU!$Q$3:$S$26,3,FALSE)</f>
        <v>2015</v>
      </c>
      <c r="O28" s="447">
        <f t="shared" si="2"/>
        <v>3030</v>
      </c>
      <c r="P28" s="458">
        <f t="shared" si="3"/>
        <v>3030</v>
      </c>
      <c r="Q28" s="416"/>
      <c r="R28" s="419" t="s">
        <v>431</v>
      </c>
      <c r="S28" s="420" t="str">
        <f t="shared" si="7"/>
        <v>Válvula de Cheque 3"</v>
      </c>
      <c r="T28" s="391" t="s">
        <v>608</v>
      </c>
      <c r="U28" s="42">
        <f>'Datos de entrada'!G25</f>
        <v>0</v>
      </c>
      <c r="V28" s="447">
        <f>VLOOKUP(S28,APU!$Q$3:$S$26,2,FALSE)</f>
        <v>1016</v>
      </c>
      <c r="W28" s="447">
        <f>VLOOKUP(S28,APU!$Q$3:$S$26,3,FALSE)</f>
        <v>2016</v>
      </c>
      <c r="X28" s="447">
        <f t="shared" si="4"/>
        <v>3032</v>
      </c>
      <c r="Y28" s="458">
        <f t="shared" si="5"/>
        <v>0</v>
      </c>
      <c r="AA28" s="471"/>
      <c r="AB28" s="465"/>
      <c r="AC28" s="466"/>
      <c r="AD28" s="466"/>
      <c r="AE28" s="466"/>
      <c r="AF28" s="466"/>
      <c r="AG28" s="466"/>
      <c r="AH28" s="41"/>
      <c r="AI28" s="440"/>
    </row>
    <row r="29" spans="2:35" ht="15.75" hidden="1" customHeight="1" thickBot="1">
      <c r="B29" s="420" t="str">
        <f>IF('Bombas coincidentes'!C29="","",'Bombas coincidentes'!C29)</f>
        <v>AS0840 S12/2D</v>
      </c>
      <c r="C29" s="42">
        <f>IF(B29="","",'Bombas coincidentes'!M29)</f>
        <v>52.511000000000003</v>
      </c>
      <c r="D29" s="42">
        <f t="shared" si="1"/>
        <v>0.73927725650387688</v>
      </c>
      <c r="E29" s="446">
        <f>IF(D29="","",D29*'Datos de entrada'!$F$15*$X$5)</f>
        <v>2590427.5067895846</v>
      </c>
      <c r="F29" s="447">
        <f>IF(E29="","",VPN(E29,'Datos de entrada'!$F$17,'Datos de entrada'!$F$18,'Datos de entrada'!$F$16))</f>
        <v>30759042.279100001</v>
      </c>
      <c r="G29" s="446">
        <f>IF(F29="","",VLOOKUP(B29,'Base de datos'!$C$4:$AI$113,33,FALSE))</f>
        <v>5400000</v>
      </c>
      <c r="I29" s="421" t="s">
        <v>39</v>
      </c>
      <c r="J29" s="422" t="str">
        <f t="shared" si="6"/>
        <v>Válvula de compuerta 2.5"</v>
      </c>
      <c r="K29" s="459" t="s">
        <v>608</v>
      </c>
      <c r="L29" s="312">
        <f>'Datos de entrada'!F26</f>
        <v>1</v>
      </c>
      <c r="M29" s="448">
        <f>VLOOKUP(J29,APU!$Q$3:$S$26,2,FALSE)</f>
        <v>1021</v>
      </c>
      <c r="N29" s="448">
        <f>VLOOKUP(J29,APU!$Q$3:$S$26,3,FALSE)</f>
        <v>2021</v>
      </c>
      <c r="O29" s="448">
        <f t="shared" si="2"/>
        <v>3042</v>
      </c>
      <c r="P29" s="460">
        <f t="shared" si="3"/>
        <v>3042</v>
      </c>
      <c r="Q29" s="416"/>
      <c r="R29" s="421" t="s">
        <v>39</v>
      </c>
      <c r="S29" s="422" t="str">
        <f t="shared" si="7"/>
        <v>Válvula de compuerta 3"</v>
      </c>
      <c r="T29" s="459" t="s">
        <v>608</v>
      </c>
      <c r="U29" s="312">
        <f>'Datos de entrada'!G26</f>
        <v>0</v>
      </c>
      <c r="V29" s="448">
        <f>VLOOKUP(S29,APU!$Q$3:$S$26,2,FALSE)</f>
        <v>1022</v>
      </c>
      <c r="W29" s="448">
        <f>VLOOKUP(S29,APU!$Q$3:$S$26,3,FALSE)</f>
        <v>2022</v>
      </c>
      <c r="X29" s="448">
        <f t="shared" si="4"/>
        <v>3044</v>
      </c>
      <c r="Y29" s="460">
        <f t="shared" si="5"/>
        <v>0</v>
      </c>
      <c r="AA29" s="471"/>
      <c r="AB29" s="465"/>
      <c r="AC29" s="466"/>
      <c r="AD29" s="466"/>
      <c r="AE29" s="466"/>
      <c r="AF29" s="466"/>
      <c r="AG29" s="466"/>
      <c r="AH29" s="41"/>
      <c r="AI29" s="440"/>
    </row>
    <row r="30" spans="2:35" ht="15.75" hidden="1" customHeight="1" thickBot="1">
      <c r="B30" s="420" t="str">
        <f>IF('Bombas coincidentes'!C30="","",'Bombas coincidentes'!C30)</f>
        <v>ARS 65-18V/1,7</v>
      </c>
      <c r="C30" s="42">
        <f>IF(B30="","",'Bombas coincidentes'!M30)</f>
        <v>52.108999999999995</v>
      </c>
      <c r="D30" s="42">
        <f t="shared" si="1"/>
        <v>0.74498048353019808</v>
      </c>
      <c r="E30" s="446">
        <f>IF(D30="","",D30*'Datos de entrada'!$F$15*$X$5)</f>
        <v>2610411.6142898141</v>
      </c>
      <c r="F30" s="447">
        <f>IF(E30="","",VPN(E30,'Datos de entrada'!$F$17,'Datos de entrada'!$F$18,'Datos de entrada'!$F$16))</f>
        <v>30996335.932700001</v>
      </c>
      <c r="G30" s="446">
        <f>IF(F30="","",VLOOKUP(B30,'Base de datos'!$C$4:$AI$113,33,FALSE))</f>
        <v>4100000</v>
      </c>
      <c r="I30" s="416"/>
      <c r="J30" s="416"/>
      <c r="K30" s="416"/>
      <c r="L30" s="416"/>
      <c r="M30" s="416"/>
      <c r="N30" s="462" t="s">
        <v>577</v>
      </c>
      <c r="O30" s="463"/>
      <c r="P30" s="464">
        <f>SUM(P18:P29)</f>
        <v>95144.39999999998</v>
      </c>
      <c r="Q30" s="416"/>
      <c r="R30" s="416"/>
      <c r="S30" s="416"/>
      <c r="T30" s="416"/>
      <c r="U30" s="416"/>
      <c r="V30" s="416"/>
      <c r="W30" s="462" t="s">
        <v>577</v>
      </c>
      <c r="X30" s="463"/>
      <c r="Y30" s="464">
        <f>SUM(Y18:Y29)</f>
        <v>224640</v>
      </c>
      <c r="AA30" s="471"/>
      <c r="AB30" s="465"/>
      <c r="AC30" s="466"/>
      <c r="AD30" s="466"/>
      <c r="AE30" s="466"/>
      <c r="AF30" s="466"/>
      <c r="AG30" s="466"/>
      <c r="AH30" s="41"/>
      <c r="AI30" s="440"/>
    </row>
    <row r="31" spans="2:35" ht="15" hidden="1" customHeight="1">
      <c r="B31" s="420" t="str">
        <f>IF('Bombas coincidentes'!C31="","",'Bombas coincidentes'!C31)</f>
        <v>DRV/A65-182-1.4</v>
      </c>
      <c r="C31" s="42">
        <f>IF(B31="","",'Bombas coincidentes'!M31)</f>
        <v>51.445999999999998</v>
      </c>
      <c r="D31" s="42">
        <f t="shared" si="1"/>
        <v>0.75458126999718311</v>
      </c>
      <c r="E31" s="446">
        <f>IF(D31="","",D31*'Datos de entrada'!$F$15*$X$5)</f>
        <v>2644052.77007013</v>
      </c>
      <c r="F31" s="447">
        <f>IF(E31="","",VPN(E31,'Datos de entrada'!$F$17,'Datos de entrada'!$F$18,'Datos de entrada'!$F$16))</f>
        <v>31395794.9914</v>
      </c>
      <c r="G31" s="446">
        <f>IF(F31="","",VLOOKUP(B31,'Base de datos'!$C$4:$AI$113,33,FALSE))</f>
        <v>5600000</v>
      </c>
      <c r="AA31" s="471"/>
      <c r="AB31" s="465"/>
      <c r="AC31" s="466"/>
      <c r="AD31" s="466"/>
      <c r="AE31" s="466"/>
      <c r="AF31" s="466"/>
      <c r="AG31" s="466"/>
      <c r="AH31" s="41"/>
      <c r="AI31" s="440"/>
    </row>
    <row r="32" spans="2:35" ht="15" hidden="1" customHeight="1">
      <c r="B32" s="420" t="str">
        <f>IF('Bombas coincidentes'!C32="","",'Bombas coincidentes'!C32)</f>
        <v>DRV/A80-182-1.4</v>
      </c>
      <c r="C32" s="42">
        <f>IF(B32="","",'Bombas coincidentes'!M32)</f>
        <v>51.011799999999987</v>
      </c>
      <c r="D32" s="42">
        <f t="shared" si="1"/>
        <v>0.76100408172766099</v>
      </c>
      <c r="E32" s="446">
        <f>IF(D32="","",D32*'Datos de entrada'!$F$15*$X$5)</f>
        <v>2666558.3023737241</v>
      </c>
      <c r="F32" s="447">
        <f>IF(E32="","",VPN(E32,'Datos de entrada'!$F$17,'Datos de entrada'!$F$18,'Datos de entrada'!$F$16))</f>
        <v>31663028.340999998</v>
      </c>
      <c r="G32" s="446">
        <f>IF(F32="","",VLOOKUP(B32,'Base de datos'!$C$4:$AI$113,33,FALSE))</f>
        <v>6000000</v>
      </c>
      <c r="AA32" s="471"/>
      <c r="AB32" s="465"/>
      <c r="AC32" s="466"/>
      <c r="AD32" s="466"/>
      <c r="AE32" s="466"/>
      <c r="AF32" s="466"/>
      <c r="AG32" s="466"/>
      <c r="AH32" s="41"/>
      <c r="AI32" s="440"/>
    </row>
    <row r="33" spans="2:35" ht="15" hidden="1" customHeight="1">
      <c r="B33" s="420" t="str">
        <f>IF('Bombas coincidentes'!C33="","",'Bombas coincidentes'!C33)</f>
        <v>DRV/A65-182-1.2M</v>
      </c>
      <c r="C33" s="42">
        <f>IF(B33="","",'Bombas coincidentes'!M33)</f>
        <v>50.667599999999993</v>
      </c>
      <c r="D33" s="42">
        <f t="shared" si="1"/>
        <v>0.766173807645815</v>
      </c>
      <c r="E33" s="446">
        <f>IF(D33="","",D33*'Datos de entrada'!$F$15*$X$5)</f>
        <v>2684673.0219909358</v>
      </c>
      <c r="F33" s="447">
        <f>IF(E33="","",VPN(E33,'Datos de entrada'!$F$17,'Datos de entrada'!$F$18,'Datos de entrada'!$F$16))</f>
        <v>31878124.661800001</v>
      </c>
      <c r="G33" s="446">
        <f>IF(F33="","",VLOOKUP(B33,'Base de datos'!$C$4:$AI$113,33,FALSE))</f>
        <v>5300000</v>
      </c>
      <c r="AA33" s="471"/>
      <c r="AB33" s="465"/>
      <c r="AC33" s="466"/>
      <c r="AD33" s="466"/>
      <c r="AE33" s="466"/>
      <c r="AF33" s="466"/>
      <c r="AG33" s="466"/>
      <c r="AH33" s="41"/>
      <c r="AI33" s="440"/>
    </row>
    <row r="34" spans="2:35" ht="15" hidden="1" customHeight="1">
      <c r="B34" s="420" t="str">
        <f>IF('Bombas coincidentes'!C34="","",'Bombas coincidentes'!C34)</f>
        <v>DRV/A80-182-1.2M</v>
      </c>
      <c r="C34" s="42">
        <f>IF(B34="","",'Bombas coincidentes'!M34)</f>
        <v>50.499699999999997</v>
      </c>
      <c r="D34" s="42">
        <f t="shared" si="1"/>
        <v>0.76872116104204768</v>
      </c>
      <c r="E34" s="446">
        <f>IF(D34="","",D34*'Datos de entrada'!$F$15*$X$5)</f>
        <v>2693598.9482913348</v>
      </c>
      <c r="F34" s="447">
        <f>IF(E34="","",VPN(E34,'Datos de entrada'!$F$17,'Datos de entrada'!$F$18,'Datos de entrada'!$F$16))</f>
        <v>31984112.1653</v>
      </c>
      <c r="G34" s="446">
        <f>IF(F34="","",VLOOKUP(B34,'Base de datos'!$C$4:$AI$113,33,FALSE))</f>
        <v>5900000</v>
      </c>
      <c r="AA34" s="471"/>
      <c r="AB34" s="465"/>
      <c r="AC34" s="466"/>
      <c r="AD34" s="466"/>
      <c r="AE34" s="466"/>
      <c r="AF34" s="466"/>
      <c r="AG34" s="466"/>
      <c r="AH34" s="41"/>
      <c r="AI34" s="440"/>
    </row>
    <row r="35" spans="2:35" ht="15" hidden="1" customHeight="1">
      <c r="B35" s="420" t="str">
        <f>IF('Bombas coincidentes'!C35="","",'Bombas coincidentes'!C35)</f>
        <v>AS0830 S13/4D</v>
      </c>
      <c r="C35" s="42">
        <f>IF(B35="","",'Bombas coincidentes'!M35)</f>
        <v>48.78</v>
      </c>
      <c r="D35" s="42">
        <f t="shared" si="1"/>
        <v>0.79582181255176476</v>
      </c>
      <c r="E35" s="446">
        <f>IF(D35="","",D35*'Datos de entrada'!$F$15*$X$5)</f>
        <v>2788559.631181384</v>
      </c>
      <c r="F35" s="447">
        <f>IF(E35="","",VPN(E35,'Datos de entrada'!$F$17,'Datos de entrada'!$F$18,'Datos de entrada'!$F$16))</f>
        <v>33111686.5339</v>
      </c>
      <c r="G35" s="446">
        <f>IF(F35="","",VLOOKUP(B35,'Base de datos'!$C$4:$AI$113,33,FALSE))</f>
        <v>4800000</v>
      </c>
      <c r="AA35" s="471"/>
      <c r="AB35" s="465"/>
      <c r="AC35" s="466"/>
      <c r="AD35" s="466"/>
      <c r="AE35" s="466"/>
      <c r="AF35" s="466"/>
      <c r="AG35" s="466"/>
      <c r="AH35" s="41"/>
      <c r="AI35" s="440"/>
    </row>
    <row r="36" spans="2:35" ht="15" hidden="1" customHeight="1">
      <c r="B36" s="420" t="str">
        <f>IF('Bombas coincidentes'!C36="","",'Bombas coincidentes'!C36)</f>
        <v/>
      </c>
      <c r="C36" s="42" t="str">
        <f>IF(B36="","",'Bombas coincidentes'!M36)</f>
        <v/>
      </c>
      <c r="D36" s="42" t="str">
        <f t="shared" si="1"/>
        <v/>
      </c>
      <c r="E36" s="446" t="str">
        <f>IF(D36="","",D36*'Datos de entrada'!$F$15*$X$5)</f>
        <v/>
      </c>
      <c r="F36" s="447" t="str">
        <f>IF(E36="","",VPN(E36,'Datos de entrada'!$F$17,'Datos de entrada'!$F$18,'Datos de entrada'!$F$16))</f>
        <v/>
      </c>
      <c r="G36" s="446" t="str">
        <f>IF(F36="","",VLOOKUP(B36,'Base de datos'!$C$4:$AI$113,33,FALSE))</f>
        <v/>
      </c>
      <c r="AA36" s="471"/>
      <c r="AB36" s="465"/>
      <c r="AC36" s="466"/>
      <c r="AD36" s="466"/>
      <c r="AE36" s="466"/>
      <c r="AF36" s="466"/>
      <c r="AG36" s="466"/>
      <c r="AH36" s="41"/>
      <c r="AI36" s="440"/>
    </row>
    <row r="37" spans="2:35" ht="15" hidden="1" customHeight="1">
      <c r="B37" s="420" t="str">
        <f>IF('Bombas coincidentes'!C37="","",'Bombas coincidentes'!C37)</f>
        <v/>
      </c>
      <c r="C37" s="42" t="str">
        <f>IF(B37="","",'Bombas coincidentes'!M37)</f>
        <v/>
      </c>
      <c r="D37" s="42" t="str">
        <f t="shared" si="1"/>
        <v/>
      </c>
      <c r="E37" s="446" t="str">
        <f>IF(D37="","",D37*'Datos de entrada'!$F$15*$X$5)</f>
        <v/>
      </c>
      <c r="F37" s="447" t="str">
        <f>IF(E37="","",VPN(E37,'Datos de entrada'!$F$17,'Datos de entrada'!$F$18,'Datos de entrada'!$F$16))</f>
        <v/>
      </c>
      <c r="G37" s="446" t="str">
        <f>IF(F37="","",VLOOKUP(B37,'Base de datos'!$C$4:$AI$113,33,FALSE))</f>
        <v/>
      </c>
      <c r="AA37" s="471"/>
      <c r="AB37" s="465"/>
      <c r="AC37" s="466"/>
      <c r="AD37" s="466"/>
      <c r="AE37" s="466"/>
      <c r="AF37" s="466"/>
      <c r="AG37" s="466"/>
      <c r="AH37" s="41"/>
      <c r="AI37" s="440"/>
    </row>
    <row r="38" spans="2:35" ht="15" hidden="1" customHeight="1">
      <c r="B38" s="420" t="str">
        <f>IF('Bombas coincidentes'!C38="","",'Bombas coincidentes'!C38)</f>
        <v/>
      </c>
      <c r="C38" s="42" t="str">
        <f>IF(B38="","",'Bombas coincidentes'!M38)</f>
        <v/>
      </c>
      <c r="D38" s="42" t="str">
        <f t="shared" si="1"/>
        <v/>
      </c>
      <c r="E38" s="446" t="str">
        <f>IF(D38="","",D38*'Datos de entrada'!$F$15*$X$5)</f>
        <v/>
      </c>
      <c r="F38" s="447" t="str">
        <f>IF(E38="","",VPN(E38,'Datos de entrada'!$F$17,'Datos de entrada'!$F$18,'Datos de entrada'!$F$16))</f>
        <v/>
      </c>
      <c r="G38" s="446" t="str">
        <f>IF(F38="","",VLOOKUP(B38,'Base de datos'!$C$4:$AI$113,33,FALSE))</f>
        <v/>
      </c>
      <c r="AA38" s="471"/>
      <c r="AB38" s="465"/>
      <c r="AC38" s="466"/>
      <c r="AD38" s="466"/>
      <c r="AE38" s="466"/>
      <c r="AF38" s="466"/>
      <c r="AG38" s="466"/>
      <c r="AH38" s="41"/>
      <c r="AI38" s="440"/>
    </row>
    <row r="39" spans="2:35" ht="15" hidden="1" customHeight="1">
      <c r="B39" s="420" t="str">
        <f>IF('Bombas coincidentes'!C39="","",'Bombas coincidentes'!C39)</f>
        <v/>
      </c>
      <c r="C39" s="42" t="str">
        <f>IF(B39="","",'Bombas coincidentes'!M39)</f>
        <v/>
      </c>
      <c r="D39" s="42" t="str">
        <f t="shared" si="1"/>
        <v/>
      </c>
      <c r="E39" s="446" t="str">
        <f>IF(D39="","",D39*'Datos de entrada'!$F$15*$X$5)</f>
        <v/>
      </c>
      <c r="F39" s="447" t="str">
        <f>IF(E39="","",VPN(E39,'Datos de entrada'!$F$17,'Datos de entrada'!$F$18,'Datos de entrada'!$F$16))</f>
        <v/>
      </c>
      <c r="G39" s="446" t="str">
        <f>IF(F39="","",VLOOKUP(B39,'Base de datos'!$C$4:$AI$113,33,FALSE))</f>
        <v/>
      </c>
      <c r="AA39" s="471"/>
      <c r="AB39" s="465"/>
      <c r="AC39" s="466"/>
      <c r="AD39" s="466"/>
      <c r="AE39" s="466"/>
      <c r="AF39" s="466"/>
      <c r="AG39" s="466"/>
      <c r="AH39" s="41"/>
      <c r="AI39" s="440"/>
    </row>
    <row r="40" spans="2:35" ht="15" hidden="1" customHeight="1">
      <c r="B40" s="420" t="str">
        <f>IF('Bombas coincidentes'!C40="","",'Bombas coincidentes'!C40)</f>
        <v/>
      </c>
      <c r="C40" s="42" t="str">
        <f>IF(B40="","",'Bombas coincidentes'!M40)</f>
        <v/>
      </c>
      <c r="D40" s="42" t="str">
        <f t="shared" si="1"/>
        <v/>
      </c>
      <c r="E40" s="446" t="str">
        <f>IF(D40="","",D40*'Datos de entrada'!$F$15*$X$5)</f>
        <v/>
      </c>
      <c r="F40" s="447" t="str">
        <f>IF(E40="","",VPN(E40,'Datos de entrada'!$F$17,'Datos de entrada'!$F$18,'Datos de entrada'!$F$16))</f>
        <v/>
      </c>
      <c r="G40" s="446" t="str">
        <f>IF(F40="","",VLOOKUP(B40,'Base de datos'!$C$4:$AI$113,33,FALSE))</f>
        <v/>
      </c>
      <c r="AA40" s="471"/>
      <c r="AB40" s="465"/>
      <c r="AC40" s="466"/>
      <c r="AD40" s="466"/>
      <c r="AE40" s="466"/>
      <c r="AF40" s="466"/>
      <c r="AG40" s="466"/>
      <c r="AH40" s="41"/>
      <c r="AI40" s="440"/>
    </row>
    <row r="41" spans="2:35" ht="15" hidden="1" customHeight="1">
      <c r="B41" s="420" t="str">
        <f>IF('Bombas coincidentes'!C41="","",'Bombas coincidentes'!C41)</f>
        <v/>
      </c>
      <c r="C41" s="42" t="str">
        <f>IF(B41="","",'Bombas coincidentes'!M41)</f>
        <v/>
      </c>
      <c r="D41" s="42" t="str">
        <f t="shared" si="1"/>
        <v/>
      </c>
      <c r="E41" s="446" t="str">
        <f>IF(D41="","",D41*'Datos de entrada'!$F$15*$X$5)</f>
        <v/>
      </c>
      <c r="F41" s="447" t="str">
        <f>IF(E41="","",VPN(E41,'Datos de entrada'!$F$17,'Datos de entrada'!$F$18,'Datos de entrada'!$F$16))</f>
        <v/>
      </c>
      <c r="G41" s="446" t="str">
        <f>IF(F41="","",VLOOKUP(B41,'Base de datos'!$C$4:$AI$113,33,FALSE))</f>
        <v/>
      </c>
      <c r="AA41" s="471"/>
      <c r="AB41" s="465"/>
      <c r="AC41" s="466"/>
      <c r="AD41" s="466"/>
      <c r="AE41" s="466"/>
      <c r="AF41" s="466"/>
      <c r="AG41" s="466"/>
      <c r="AH41" s="41"/>
      <c r="AI41" s="440"/>
    </row>
    <row r="42" spans="2:35" ht="15" hidden="1" customHeight="1">
      <c r="B42" s="420" t="str">
        <f>IF('Bombas coincidentes'!C42="","",'Bombas coincidentes'!C42)</f>
        <v/>
      </c>
      <c r="C42" s="42" t="str">
        <f>IF(B42="","",'Bombas coincidentes'!M42)</f>
        <v/>
      </c>
      <c r="D42" s="42" t="str">
        <f t="shared" si="1"/>
        <v/>
      </c>
      <c r="E42" s="446" t="str">
        <f>IF(D42="","",D42*'Datos de entrada'!$F$15*$X$5)</f>
        <v/>
      </c>
      <c r="F42" s="447" t="str">
        <f>IF(E42="","",VPN(E42,'Datos de entrada'!$F$17,'Datos de entrada'!$F$18,'Datos de entrada'!$F$16))</f>
        <v/>
      </c>
      <c r="G42" s="446" t="str">
        <f>IF(F42="","",VLOOKUP(B42,'Base de datos'!$C$4:$AI$113,33,FALSE))</f>
        <v/>
      </c>
      <c r="AA42" s="471"/>
      <c r="AB42" s="465"/>
      <c r="AC42" s="466"/>
      <c r="AD42" s="466"/>
      <c r="AE42" s="466"/>
      <c r="AF42" s="466"/>
      <c r="AG42" s="466"/>
      <c r="AH42" s="41"/>
      <c r="AI42" s="440"/>
    </row>
    <row r="43" spans="2:35" ht="15" hidden="1" customHeight="1">
      <c r="B43" s="420" t="str">
        <f>IF('Bombas coincidentes'!C43="","",'Bombas coincidentes'!C43)</f>
        <v/>
      </c>
      <c r="C43" s="42" t="str">
        <f>IF(B43="","",'Bombas coincidentes'!M43)</f>
        <v/>
      </c>
      <c r="D43" s="42" t="str">
        <f t="shared" si="1"/>
        <v/>
      </c>
      <c r="E43" s="446" t="str">
        <f>IF(D43="","",D43*'Datos de entrada'!$F$15*$X$5)</f>
        <v/>
      </c>
      <c r="F43" s="447" t="str">
        <f>IF(E43="","",VPN(E43,'Datos de entrada'!$F$17,'Datos de entrada'!$F$18,'Datos de entrada'!$F$16))</f>
        <v/>
      </c>
      <c r="G43" s="446" t="str">
        <f>IF(F43="","",VLOOKUP(B43,'Base de datos'!$C$4:$AI$113,33,FALSE))</f>
        <v/>
      </c>
      <c r="AA43" s="471"/>
      <c r="AB43" s="465"/>
      <c r="AC43" s="466"/>
      <c r="AD43" s="466"/>
      <c r="AE43" s="466"/>
      <c r="AF43" s="466"/>
      <c r="AG43" s="466"/>
      <c r="AH43" s="41"/>
      <c r="AI43" s="440"/>
    </row>
    <row r="44" spans="2:35" ht="15" hidden="1" customHeight="1">
      <c r="B44" s="420" t="str">
        <f>IF('Bombas coincidentes'!C44="","",'Bombas coincidentes'!C44)</f>
        <v/>
      </c>
      <c r="C44" s="42" t="str">
        <f>IF(B44="","",'Bombas coincidentes'!M44)</f>
        <v/>
      </c>
      <c r="D44" s="42" t="str">
        <f t="shared" si="1"/>
        <v/>
      </c>
      <c r="E44" s="446" t="str">
        <f>IF(D44="","",D44*'Datos de entrada'!$F$15*$X$5)</f>
        <v/>
      </c>
      <c r="F44" s="447" t="str">
        <f>IF(E44="","",VPN(E44,'Datos de entrada'!$F$17,'Datos de entrada'!$F$18,'Datos de entrada'!$F$16))</f>
        <v/>
      </c>
      <c r="G44" s="446" t="str">
        <f>IF(F44="","",VLOOKUP(B44,'Base de datos'!$C$4:$AI$113,33,FALSE))</f>
        <v/>
      </c>
      <c r="AA44" s="471"/>
      <c r="AB44" s="465"/>
      <c r="AC44" s="466"/>
      <c r="AD44" s="466"/>
      <c r="AE44" s="466"/>
      <c r="AF44" s="466"/>
      <c r="AG44" s="466"/>
      <c r="AH44" s="41"/>
      <c r="AI44" s="440"/>
    </row>
    <row r="45" spans="2:35" ht="15" hidden="1" customHeight="1">
      <c r="B45" s="420" t="str">
        <f>IF('Bombas coincidentes'!C45="","",'Bombas coincidentes'!C45)</f>
        <v/>
      </c>
      <c r="C45" s="42" t="str">
        <f>IF(B45="","",'Bombas coincidentes'!M45)</f>
        <v/>
      </c>
      <c r="D45" s="42" t="str">
        <f t="shared" si="1"/>
        <v/>
      </c>
      <c r="E45" s="446" t="str">
        <f>IF(D45="","",D45*'Datos de entrada'!$F$15*$X$5)</f>
        <v/>
      </c>
      <c r="F45" s="447" t="str">
        <f>IF(E45="","",VPN(E45,'Datos de entrada'!$F$17,'Datos de entrada'!$F$18,'Datos de entrada'!$F$16))</f>
        <v/>
      </c>
      <c r="G45" s="446" t="str">
        <f>IF(F45="","",VLOOKUP(B45,'Base de datos'!$C$4:$AI$113,33,FALSE))</f>
        <v/>
      </c>
      <c r="AA45" s="471"/>
      <c r="AB45" s="465"/>
      <c r="AC45" s="466"/>
      <c r="AD45" s="466"/>
      <c r="AE45" s="466"/>
      <c r="AF45" s="466"/>
      <c r="AG45" s="466"/>
      <c r="AH45" s="41"/>
      <c r="AI45" s="440"/>
    </row>
    <row r="46" spans="2:35" ht="15" hidden="1" customHeight="1">
      <c r="B46" s="420" t="str">
        <f>IF('Bombas coincidentes'!C46="","",'Bombas coincidentes'!C46)</f>
        <v/>
      </c>
      <c r="C46" s="42" t="str">
        <f>IF(B46="","",'Bombas coincidentes'!M46)</f>
        <v/>
      </c>
      <c r="D46" s="42" t="str">
        <f t="shared" si="1"/>
        <v/>
      </c>
      <c r="E46" s="446" t="str">
        <f>IF(D46="","",D46*'Datos de entrada'!$F$15*$X$5)</f>
        <v/>
      </c>
      <c r="F46" s="447" t="str">
        <f>IF(E46="","",VPN(E46,'Datos de entrada'!$F$17,'Datos de entrada'!$F$18,'Datos de entrada'!$F$16))</f>
        <v/>
      </c>
      <c r="G46" s="446" t="str">
        <f>IF(F46="","",VLOOKUP(B46,'Base de datos'!$C$4:$AI$113,33,FALSE))</f>
        <v/>
      </c>
      <c r="AA46" s="471"/>
      <c r="AB46" s="465"/>
      <c r="AC46" s="466"/>
      <c r="AD46" s="466"/>
      <c r="AE46" s="466"/>
      <c r="AF46" s="466"/>
      <c r="AG46" s="466"/>
      <c r="AH46" s="41"/>
      <c r="AI46" s="440"/>
    </row>
    <row r="47" spans="2:35" ht="15" hidden="1" customHeight="1">
      <c r="B47" s="420" t="str">
        <f>IF('Bombas coincidentes'!C47="","",'Bombas coincidentes'!C47)</f>
        <v/>
      </c>
      <c r="C47" s="42" t="str">
        <f>IF(B47="","",'Bombas coincidentes'!M47)</f>
        <v/>
      </c>
      <c r="D47" s="42" t="str">
        <f t="shared" si="1"/>
        <v/>
      </c>
      <c r="E47" s="446" t="str">
        <f>IF(D47="","",D47*'Datos de entrada'!$F$15*$X$5)</f>
        <v/>
      </c>
      <c r="F47" s="447" t="str">
        <f>IF(E47="","",VPN(E47,'Datos de entrada'!$F$17,'Datos de entrada'!$F$18,'Datos de entrada'!$F$16))</f>
        <v/>
      </c>
      <c r="G47" s="446" t="str">
        <f>IF(F47="","",VLOOKUP(B47,'Base de datos'!$C$4:$AI$113,33,FALSE))</f>
        <v/>
      </c>
      <c r="AA47" s="471"/>
      <c r="AB47" s="465"/>
      <c r="AC47" s="466"/>
      <c r="AD47" s="466"/>
      <c r="AE47" s="466"/>
      <c r="AF47" s="466"/>
      <c r="AG47" s="466"/>
      <c r="AH47" s="41"/>
      <c r="AI47" s="440"/>
    </row>
    <row r="48" spans="2:35" ht="15" hidden="1" customHeight="1">
      <c r="B48" s="420" t="str">
        <f>IF('Bombas coincidentes'!C48="","",'Bombas coincidentes'!C48)</f>
        <v/>
      </c>
      <c r="C48" s="42" t="str">
        <f>IF(B48="","",'Bombas coincidentes'!M48)</f>
        <v/>
      </c>
      <c r="D48" s="42" t="str">
        <f t="shared" si="1"/>
        <v/>
      </c>
      <c r="E48" s="446" t="str">
        <f>IF(D48="","",D48*'Datos de entrada'!$F$15*$X$5)</f>
        <v/>
      </c>
      <c r="F48" s="447" t="str">
        <f>IF(E48="","",VPN(E48,'Datos de entrada'!$F$17,'Datos de entrada'!$F$18,'Datos de entrada'!$F$16))</f>
        <v/>
      </c>
      <c r="G48" s="446" t="str">
        <f>IF(F48="","",VLOOKUP(B48,'Base de datos'!$C$4:$AI$113,33,FALSE))</f>
        <v/>
      </c>
      <c r="AA48" s="471"/>
      <c r="AB48" s="465"/>
      <c r="AC48" s="466"/>
      <c r="AD48" s="466"/>
      <c r="AE48" s="466"/>
      <c r="AF48" s="466"/>
      <c r="AG48" s="466"/>
      <c r="AH48" s="41"/>
      <c r="AI48" s="440"/>
    </row>
    <row r="49" spans="2:35" ht="15" hidden="1" customHeight="1">
      <c r="B49" s="420" t="str">
        <f>IF('Bombas coincidentes'!C49="","",'Bombas coincidentes'!C49)</f>
        <v/>
      </c>
      <c r="C49" s="42" t="str">
        <f>IF(B49="","",'Bombas coincidentes'!M49)</f>
        <v/>
      </c>
      <c r="D49" s="42" t="str">
        <f t="shared" si="1"/>
        <v/>
      </c>
      <c r="E49" s="446" t="str">
        <f>IF(D49="","",D49*'Datos de entrada'!$F$15*$X$5)</f>
        <v/>
      </c>
      <c r="F49" s="447" t="str">
        <f>IF(E49="","",VPN(E49,'Datos de entrada'!$F$17,'Datos de entrada'!$F$18,'Datos de entrada'!$F$16))</f>
        <v/>
      </c>
      <c r="G49" s="446" t="str">
        <f>IF(F49="","",VLOOKUP(B49,'Base de datos'!$C$4:$AI$113,33,FALSE))</f>
        <v/>
      </c>
      <c r="AA49" s="471"/>
      <c r="AB49" s="465"/>
      <c r="AC49" s="466"/>
      <c r="AD49" s="466"/>
      <c r="AE49" s="466"/>
      <c r="AF49" s="466"/>
      <c r="AG49" s="466"/>
      <c r="AH49" s="41"/>
      <c r="AI49" s="440"/>
    </row>
    <row r="50" spans="2:35" ht="15" hidden="1" customHeight="1">
      <c r="B50" s="420" t="str">
        <f>IF('Bombas coincidentes'!C50="","",'Bombas coincidentes'!C50)</f>
        <v/>
      </c>
      <c r="C50" s="42" t="str">
        <f>IF(B50="","",'Bombas coincidentes'!M50)</f>
        <v/>
      </c>
      <c r="D50" s="42" t="str">
        <f t="shared" si="1"/>
        <v/>
      </c>
      <c r="E50" s="446" t="str">
        <f>IF(D50="","",D50*'Datos de entrada'!$F$15*$X$5)</f>
        <v/>
      </c>
      <c r="F50" s="447" t="str">
        <f>IF(E50="","",VPN(E50,'Datos de entrada'!$F$17,'Datos de entrada'!$F$18,'Datos de entrada'!$F$16))</f>
        <v/>
      </c>
      <c r="G50" s="446" t="str">
        <f>IF(F50="","",VLOOKUP(B50,'Base de datos'!$C$4:$AI$113,33,FALSE))</f>
        <v/>
      </c>
      <c r="AA50" s="471"/>
      <c r="AB50" s="465"/>
      <c r="AC50" s="466"/>
      <c r="AD50" s="466"/>
      <c r="AE50" s="466"/>
      <c r="AF50" s="466"/>
      <c r="AG50" s="466"/>
      <c r="AH50" s="41"/>
      <c r="AI50" s="440"/>
    </row>
    <row r="51" spans="2:35" ht="15" hidden="1" customHeight="1">
      <c r="B51" s="420" t="str">
        <f>IF('Bombas coincidentes'!C51="","",'Bombas coincidentes'!C51)</f>
        <v/>
      </c>
      <c r="C51" s="42" t="str">
        <f>IF(B51="","",'Bombas coincidentes'!M51)</f>
        <v/>
      </c>
      <c r="D51" s="42" t="str">
        <f t="shared" si="1"/>
        <v/>
      </c>
      <c r="E51" s="446" t="str">
        <f>IF(D51="","",D51*'Datos de entrada'!$F$15*$X$5)</f>
        <v/>
      </c>
      <c r="F51" s="447" t="str">
        <f>IF(E51="","",VPN(E51,'Datos de entrada'!$F$17,'Datos de entrada'!$F$18,'Datos de entrada'!$F$16))</f>
        <v/>
      </c>
      <c r="G51" s="446" t="str">
        <f>IF(F51="","",VLOOKUP(B51,'Base de datos'!$C$4:$AI$113,33,FALSE))</f>
        <v/>
      </c>
      <c r="AA51" s="471"/>
      <c r="AB51" s="465"/>
      <c r="AC51" s="466"/>
      <c r="AD51" s="466"/>
      <c r="AE51" s="466"/>
      <c r="AF51" s="466"/>
      <c r="AG51" s="466"/>
      <c r="AH51" s="41"/>
      <c r="AI51" s="440"/>
    </row>
    <row r="52" spans="2:35" ht="15" hidden="1" customHeight="1">
      <c r="B52" s="420" t="str">
        <f>IF('Bombas coincidentes'!C52="","",'Bombas coincidentes'!C52)</f>
        <v/>
      </c>
      <c r="C52" s="42" t="str">
        <f>IF(B52="","",'Bombas coincidentes'!M52)</f>
        <v/>
      </c>
      <c r="D52" s="42" t="str">
        <f t="shared" si="1"/>
        <v/>
      </c>
      <c r="E52" s="446" t="str">
        <f>IF(D52="","",D52*'Datos de entrada'!$F$15*$X$5)</f>
        <v/>
      </c>
      <c r="F52" s="447" t="str">
        <f>IF(E52="","",VPN(E52,'Datos de entrada'!$F$17,'Datos de entrada'!$F$18,'Datos de entrada'!$F$16))</f>
        <v/>
      </c>
      <c r="G52" s="446" t="str">
        <f>IF(F52="","",VLOOKUP(B52,'Base de datos'!$C$4:$AI$113,33,FALSE))</f>
        <v/>
      </c>
      <c r="AA52" s="471"/>
      <c r="AB52" s="465"/>
      <c r="AC52" s="466"/>
      <c r="AD52" s="466"/>
      <c r="AE52" s="466"/>
      <c r="AF52" s="466"/>
      <c r="AG52" s="466"/>
      <c r="AH52" s="41"/>
      <c r="AI52" s="440"/>
    </row>
    <row r="53" spans="2:35" ht="15" hidden="1" customHeight="1">
      <c r="B53" s="420" t="str">
        <f>IF('Bombas coincidentes'!C53="","",'Bombas coincidentes'!C53)</f>
        <v/>
      </c>
      <c r="C53" s="42" t="str">
        <f>IF(B53="","",'Bombas coincidentes'!M53)</f>
        <v/>
      </c>
      <c r="D53" s="42" t="str">
        <f t="shared" si="1"/>
        <v/>
      </c>
      <c r="E53" s="446" t="str">
        <f>IF(D53="","",D53*'Datos de entrada'!$F$15*$X$5)</f>
        <v/>
      </c>
      <c r="F53" s="447" t="str">
        <f>IF(E53="","",VPN(E53,'Datos de entrada'!$F$17,'Datos de entrada'!$F$18,'Datos de entrada'!$F$16))</f>
        <v/>
      </c>
      <c r="G53" s="446" t="str">
        <f>IF(F53="","",VLOOKUP(B53,'Base de datos'!$C$4:$AI$113,33,FALSE))</f>
        <v/>
      </c>
      <c r="AA53" s="471"/>
      <c r="AB53" s="465"/>
      <c r="AC53" s="466"/>
      <c r="AD53" s="466"/>
      <c r="AE53" s="466"/>
      <c r="AF53" s="466"/>
      <c r="AG53" s="466"/>
      <c r="AH53" s="41"/>
      <c r="AI53" s="440"/>
    </row>
    <row r="54" spans="2:35" ht="15" hidden="1" customHeight="1">
      <c r="B54" s="420" t="str">
        <f>IF('Bombas coincidentes'!C54="","",'Bombas coincidentes'!C54)</f>
        <v/>
      </c>
      <c r="C54" s="42" t="str">
        <f>IF(B54="","",'Bombas coincidentes'!M54)</f>
        <v/>
      </c>
      <c r="D54" s="42" t="str">
        <f t="shared" si="1"/>
        <v/>
      </c>
      <c r="E54" s="446" t="str">
        <f>IF(D54="","",D54*'Datos de entrada'!$F$15*$X$5)</f>
        <v/>
      </c>
      <c r="F54" s="447" t="str">
        <f>IF(E54="","",VPN(E54,'Datos de entrada'!$F$17,'Datos de entrada'!$F$18,'Datos de entrada'!$F$16))</f>
        <v/>
      </c>
      <c r="G54" s="446" t="str">
        <f>IF(F54="","",VLOOKUP(B54,'Base de datos'!$C$4:$AI$113,33,FALSE))</f>
        <v/>
      </c>
      <c r="AA54" s="471"/>
      <c r="AB54" s="465"/>
      <c r="AC54" s="466"/>
      <c r="AD54" s="466"/>
      <c r="AE54" s="466"/>
      <c r="AF54" s="466"/>
      <c r="AG54" s="466"/>
      <c r="AH54" s="41"/>
      <c r="AI54" s="440"/>
    </row>
    <row r="55" spans="2:35" ht="15" hidden="1" customHeight="1">
      <c r="B55" s="420" t="str">
        <f>IF('Bombas coincidentes'!C55="","",'Bombas coincidentes'!C55)</f>
        <v/>
      </c>
      <c r="C55" s="42" t="str">
        <f>IF(B55="","",'Bombas coincidentes'!M55)</f>
        <v/>
      </c>
      <c r="D55" s="42" t="str">
        <f t="shared" si="1"/>
        <v/>
      </c>
      <c r="E55" s="446" t="str">
        <f>IF(D55="","",D55*'Datos de entrada'!$F$15*$X$5)</f>
        <v/>
      </c>
      <c r="F55" s="447" t="str">
        <f>IF(E55="","",VPN(E55,'Datos de entrada'!$F$17,'Datos de entrada'!$F$18,'Datos de entrada'!$F$16))</f>
        <v/>
      </c>
      <c r="G55" s="446" t="str">
        <f>IF(F55="","",VLOOKUP(B55,'Base de datos'!$C$4:$AI$113,33,FALSE))</f>
        <v/>
      </c>
      <c r="AA55" s="471"/>
      <c r="AB55" s="465"/>
      <c r="AC55" s="466"/>
      <c r="AD55" s="466"/>
      <c r="AE55" s="466"/>
      <c r="AF55" s="466"/>
      <c r="AG55" s="466"/>
      <c r="AH55" s="41"/>
      <c r="AI55" s="440"/>
    </row>
    <row r="56" spans="2:35" ht="15" hidden="1" customHeight="1">
      <c r="B56" s="420" t="str">
        <f>IF('Bombas coincidentes'!C56="","",'Bombas coincidentes'!C56)</f>
        <v/>
      </c>
      <c r="C56" s="42" t="str">
        <f>IF(B56="","",'Bombas coincidentes'!M56)</f>
        <v/>
      </c>
      <c r="D56" s="42" t="str">
        <f t="shared" si="1"/>
        <v/>
      </c>
      <c r="E56" s="446" t="str">
        <f>IF(D56="","",D56*'Datos de entrada'!$F$15*$X$5)</f>
        <v/>
      </c>
      <c r="F56" s="447" t="str">
        <f>IF(E56="","",VPN(E56,'Datos de entrada'!$F$17,'Datos de entrada'!$F$18,'Datos de entrada'!$F$16))</f>
        <v/>
      </c>
      <c r="G56" s="446" t="str">
        <f>IF(F56="","",VLOOKUP(B56,'Base de datos'!$C$4:$AI$113,33,FALSE))</f>
        <v/>
      </c>
      <c r="AA56" s="471"/>
      <c r="AB56" s="465"/>
      <c r="AC56" s="466"/>
      <c r="AD56" s="466"/>
      <c r="AE56" s="466"/>
      <c r="AF56" s="466"/>
      <c r="AG56" s="466"/>
      <c r="AH56" s="41"/>
      <c r="AI56" s="440"/>
    </row>
    <row r="57" spans="2:35">
      <c r="AA57" s="471"/>
      <c r="AB57" s="465" t="str">
        <f t="shared" ref="AB57:AH57" si="8">J19</f>
        <v>Codo 90 radio corto 2.5"</v>
      </c>
      <c r="AC57" s="466" t="str">
        <f t="shared" si="8"/>
        <v>un</v>
      </c>
      <c r="AD57" s="466">
        <f t="shared" si="8"/>
        <v>0</v>
      </c>
      <c r="AE57" s="446">
        <f t="shared" si="8"/>
        <v>6009</v>
      </c>
      <c r="AF57" s="446">
        <f t="shared" si="8"/>
        <v>6009</v>
      </c>
      <c r="AG57" s="446">
        <f t="shared" si="8"/>
        <v>12018</v>
      </c>
      <c r="AH57" s="435">
        <f t="shared" si="8"/>
        <v>0</v>
      </c>
      <c r="AI57" s="440"/>
    </row>
    <row r="58" spans="2:35">
      <c r="AA58" s="471"/>
      <c r="AB58" s="465" t="str">
        <f t="shared" ref="AB58:AB67" si="9">J20</f>
        <v>Codo 90 radio medio 2.5"</v>
      </c>
      <c r="AC58" s="466" t="str">
        <f t="shared" ref="AC58:AC67" si="10">K20</f>
        <v>un</v>
      </c>
      <c r="AD58" s="466">
        <f t="shared" ref="AD58:AD67" si="11">L20</f>
        <v>0</v>
      </c>
      <c r="AE58" s="446">
        <f t="shared" ref="AE58:AE67" si="12">M20</f>
        <v>6015</v>
      </c>
      <c r="AF58" s="446">
        <f t="shared" ref="AF58:AF67" si="13">N20</f>
        <v>6015</v>
      </c>
      <c r="AG58" s="446">
        <f t="shared" ref="AG58:AG67" si="14">O20</f>
        <v>12030</v>
      </c>
      <c r="AH58" s="435">
        <f t="shared" ref="AH58:AH67" si="15">P20</f>
        <v>0</v>
      </c>
      <c r="AI58" s="440"/>
    </row>
    <row r="59" spans="2:35">
      <c r="AA59" s="471"/>
      <c r="AB59" s="465" t="str">
        <f t="shared" si="9"/>
        <v>Codo 90 gran radio 2.5"</v>
      </c>
      <c r="AC59" s="466" t="str">
        <f t="shared" si="10"/>
        <v>un</v>
      </c>
      <c r="AD59" s="466">
        <f t="shared" si="11"/>
        <v>1</v>
      </c>
      <c r="AE59" s="446">
        <f t="shared" si="12"/>
        <v>6021</v>
      </c>
      <c r="AF59" s="446">
        <f t="shared" si="13"/>
        <v>6021</v>
      </c>
      <c r="AG59" s="446">
        <f t="shared" si="14"/>
        <v>12042</v>
      </c>
      <c r="AH59" s="435">
        <f t="shared" si="15"/>
        <v>12042</v>
      </c>
      <c r="AI59" s="440"/>
    </row>
    <row r="60" spans="2:35">
      <c r="AA60" s="471"/>
      <c r="AB60" s="465" t="str">
        <f t="shared" si="9"/>
        <v>Codo 45 2.5"</v>
      </c>
      <c r="AC60" s="466" t="str">
        <f t="shared" si="10"/>
        <v>un</v>
      </c>
      <c r="AD60" s="466">
        <f t="shared" si="11"/>
        <v>0</v>
      </c>
      <c r="AE60" s="446">
        <f t="shared" si="12"/>
        <v>6027</v>
      </c>
      <c r="AF60" s="446">
        <f t="shared" si="13"/>
        <v>6027</v>
      </c>
      <c r="AG60" s="446">
        <f t="shared" si="14"/>
        <v>12054</v>
      </c>
      <c r="AH60" s="435">
        <f t="shared" si="15"/>
        <v>0</v>
      </c>
      <c r="AI60" s="440"/>
    </row>
    <row r="61" spans="2:35">
      <c r="AA61" s="471"/>
      <c r="AB61" s="465" t="str">
        <f t="shared" si="9"/>
        <v>Tee 2.5"</v>
      </c>
      <c r="AC61" s="466" t="str">
        <f t="shared" si="10"/>
        <v>un</v>
      </c>
      <c r="AD61" s="466">
        <f t="shared" si="11"/>
        <v>2</v>
      </c>
      <c r="AE61" s="446">
        <f t="shared" si="12"/>
        <v>6033</v>
      </c>
      <c r="AF61" s="446">
        <f t="shared" si="13"/>
        <v>6033</v>
      </c>
      <c r="AG61" s="446">
        <f t="shared" si="14"/>
        <v>12066</v>
      </c>
      <c r="AH61" s="435">
        <f t="shared" si="15"/>
        <v>24132</v>
      </c>
      <c r="AI61" s="440"/>
    </row>
    <row r="62" spans="2:35">
      <c r="AA62" s="471"/>
      <c r="AB62" s="465" t="str">
        <f t="shared" si="9"/>
        <v>Uniones 2.5"</v>
      </c>
      <c r="AC62" s="466" t="str">
        <f t="shared" si="10"/>
        <v>un</v>
      </c>
      <c r="AD62" s="466">
        <f t="shared" si="11"/>
        <v>1</v>
      </c>
      <c r="AE62" s="446">
        <f t="shared" si="12"/>
        <v>6039</v>
      </c>
      <c r="AF62" s="446">
        <f t="shared" si="13"/>
        <v>6039</v>
      </c>
      <c r="AG62" s="446">
        <f t="shared" si="14"/>
        <v>12078</v>
      </c>
      <c r="AH62" s="435">
        <f t="shared" si="15"/>
        <v>12078</v>
      </c>
      <c r="AI62" s="440"/>
    </row>
    <row r="63" spans="2:35">
      <c r="AA63" s="471"/>
      <c r="AB63" s="465" t="str">
        <f t="shared" si="9"/>
        <v>Yee 2.5"</v>
      </c>
      <c r="AC63" s="466" t="str">
        <f t="shared" si="10"/>
        <v>un</v>
      </c>
      <c r="AD63" s="466">
        <f t="shared" si="11"/>
        <v>0</v>
      </c>
      <c r="AE63" s="446">
        <f t="shared" si="12"/>
        <v>6045</v>
      </c>
      <c r="AF63" s="446">
        <f t="shared" si="13"/>
        <v>6045</v>
      </c>
      <c r="AG63" s="446">
        <f t="shared" si="14"/>
        <v>12090</v>
      </c>
      <c r="AH63" s="435">
        <f t="shared" si="15"/>
        <v>0</v>
      </c>
      <c r="AI63" s="440"/>
    </row>
    <row r="64" spans="2:35">
      <c r="AA64" s="471"/>
      <c r="AB64" s="465" t="str">
        <f t="shared" si="9"/>
        <v>Válvula de globo 2.5"</v>
      </c>
      <c r="AC64" s="466" t="str">
        <f t="shared" si="10"/>
        <v>un</v>
      </c>
      <c r="AD64" s="466">
        <f t="shared" si="11"/>
        <v>0</v>
      </c>
      <c r="AE64" s="446">
        <f t="shared" si="12"/>
        <v>1003</v>
      </c>
      <c r="AF64" s="446">
        <f t="shared" si="13"/>
        <v>2003</v>
      </c>
      <c r="AG64" s="446">
        <f t="shared" si="14"/>
        <v>3006</v>
      </c>
      <c r="AH64" s="435">
        <f t="shared" si="15"/>
        <v>0</v>
      </c>
      <c r="AI64" s="440"/>
    </row>
    <row r="65" spans="27:35">
      <c r="AA65" s="471"/>
      <c r="AB65" s="465" t="str">
        <f t="shared" si="9"/>
        <v>Válvula de mariposa 2.5"</v>
      </c>
      <c r="AC65" s="466" t="str">
        <f t="shared" si="10"/>
        <v>un</v>
      </c>
      <c r="AD65" s="466">
        <f t="shared" si="11"/>
        <v>0</v>
      </c>
      <c r="AE65" s="446">
        <f t="shared" si="12"/>
        <v>1009</v>
      </c>
      <c r="AF65" s="446">
        <f t="shared" si="13"/>
        <v>2009</v>
      </c>
      <c r="AG65" s="446">
        <f t="shared" si="14"/>
        <v>3018</v>
      </c>
      <c r="AH65" s="435">
        <f t="shared" si="15"/>
        <v>0</v>
      </c>
      <c r="AI65" s="440"/>
    </row>
    <row r="66" spans="27:35">
      <c r="AA66" s="471"/>
      <c r="AB66" s="465" t="str">
        <f t="shared" si="9"/>
        <v>Válvula de Cheque 2.5"</v>
      </c>
      <c r="AC66" s="466" t="str">
        <f t="shared" si="10"/>
        <v>un</v>
      </c>
      <c r="AD66" s="466">
        <f t="shared" si="11"/>
        <v>1</v>
      </c>
      <c r="AE66" s="446">
        <f t="shared" si="12"/>
        <v>1015</v>
      </c>
      <c r="AF66" s="446">
        <f t="shared" si="13"/>
        <v>2015</v>
      </c>
      <c r="AG66" s="446">
        <f t="shared" si="14"/>
        <v>3030</v>
      </c>
      <c r="AH66" s="435">
        <f t="shared" si="15"/>
        <v>3030</v>
      </c>
      <c r="AI66" s="440"/>
    </row>
    <row r="67" spans="27:35">
      <c r="AA67" s="471"/>
      <c r="AB67" s="465" t="str">
        <f t="shared" si="9"/>
        <v>Válvula de compuerta 2.5"</v>
      </c>
      <c r="AC67" s="466" t="str">
        <f t="shared" si="10"/>
        <v>un</v>
      </c>
      <c r="AD67" s="466">
        <f t="shared" si="11"/>
        <v>1</v>
      </c>
      <c r="AE67" s="446">
        <f t="shared" si="12"/>
        <v>1021</v>
      </c>
      <c r="AF67" s="446">
        <f t="shared" si="13"/>
        <v>2021</v>
      </c>
      <c r="AG67" s="446">
        <f t="shared" si="14"/>
        <v>3042</v>
      </c>
      <c r="AH67" s="435">
        <f t="shared" si="15"/>
        <v>3042</v>
      </c>
      <c r="AI67" s="440"/>
    </row>
    <row r="68" spans="27:35" ht="16.5" thickBot="1">
      <c r="AA68" s="471"/>
      <c r="AB68" s="555" t="s">
        <v>619</v>
      </c>
      <c r="AC68" s="556"/>
      <c r="AD68" s="556"/>
      <c r="AE68" s="556"/>
      <c r="AF68" s="556"/>
      <c r="AG68" s="556"/>
      <c r="AH68" s="477">
        <f>SUM(AH14:AH67)</f>
        <v>95144.39999999998</v>
      </c>
      <c r="AI68" s="440"/>
    </row>
    <row r="69" spans="27:35" ht="15.75" thickBot="1">
      <c r="AA69" s="471"/>
      <c r="AB69" s="549" t="s">
        <v>578</v>
      </c>
      <c r="AC69" s="550"/>
      <c r="AD69" s="550"/>
      <c r="AE69" s="550"/>
      <c r="AF69" s="550"/>
      <c r="AG69" s="550"/>
      <c r="AH69" s="551"/>
      <c r="AI69" s="440"/>
    </row>
    <row r="70" spans="27:35">
      <c r="AA70" s="471"/>
      <c r="AB70" s="360" t="str">
        <f t="shared" ref="AB70:AH71" si="16">S18</f>
        <v>Tubería 3"</v>
      </c>
      <c r="AC70" s="390" t="str">
        <f t="shared" si="16"/>
        <v>ml</v>
      </c>
      <c r="AD70" s="390">
        <f t="shared" si="16"/>
        <v>50</v>
      </c>
      <c r="AE70" s="476">
        <f t="shared" si="16"/>
        <v>2004</v>
      </c>
      <c r="AF70" s="476">
        <f t="shared" si="16"/>
        <v>2004</v>
      </c>
      <c r="AG70" s="476">
        <f t="shared" si="16"/>
        <v>4008</v>
      </c>
      <c r="AH70" s="434">
        <f t="shared" si="16"/>
        <v>200400</v>
      </c>
      <c r="AI70" s="440"/>
    </row>
    <row r="71" spans="27:35">
      <c r="AA71" s="471"/>
      <c r="AB71" s="465" t="str">
        <f t="shared" si="16"/>
        <v>Codo 90 radio corto 3"</v>
      </c>
      <c r="AC71" s="466" t="str">
        <f t="shared" si="16"/>
        <v>un</v>
      </c>
      <c r="AD71" s="466">
        <f t="shared" si="16"/>
        <v>3</v>
      </c>
      <c r="AE71" s="446">
        <f t="shared" si="16"/>
        <v>2010</v>
      </c>
      <c r="AF71" s="446">
        <f t="shared" si="16"/>
        <v>2010</v>
      </c>
      <c r="AG71" s="446">
        <f t="shared" si="16"/>
        <v>4020</v>
      </c>
      <c r="AH71" s="435">
        <f t="shared" si="16"/>
        <v>12060</v>
      </c>
      <c r="AI71" s="440"/>
    </row>
    <row r="72" spans="27:35">
      <c r="AA72" s="471"/>
      <c r="AB72" s="465" t="str">
        <f t="shared" ref="AB72:AB81" si="17">S20</f>
        <v>Codo 90 radio medio 3"</v>
      </c>
      <c r="AC72" s="466" t="str">
        <f t="shared" ref="AC72:AC81" si="18">T20</f>
        <v>un</v>
      </c>
      <c r="AD72" s="466">
        <f t="shared" ref="AD72:AD81" si="19">U20</f>
        <v>0</v>
      </c>
      <c r="AE72" s="446">
        <f t="shared" ref="AE72:AE81" si="20">V20</f>
        <v>2016</v>
      </c>
      <c r="AF72" s="446">
        <f t="shared" ref="AF72:AF81" si="21">W20</f>
        <v>2016</v>
      </c>
      <c r="AG72" s="446">
        <f t="shared" ref="AG72:AG81" si="22">X20</f>
        <v>4032</v>
      </c>
      <c r="AH72" s="435">
        <f t="shared" ref="AH72:AH81" si="23">Y20</f>
        <v>0</v>
      </c>
      <c r="AI72" s="440"/>
    </row>
    <row r="73" spans="27:35">
      <c r="AA73" s="471"/>
      <c r="AB73" s="465" t="str">
        <f t="shared" si="17"/>
        <v>Codo 90 gran radio 3"</v>
      </c>
      <c r="AC73" s="466" t="str">
        <f t="shared" si="18"/>
        <v>un</v>
      </c>
      <c r="AD73" s="466">
        <f t="shared" si="19"/>
        <v>0</v>
      </c>
      <c r="AE73" s="446">
        <f t="shared" si="20"/>
        <v>2022</v>
      </c>
      <c r="AF73" s="446">
        <f t="shared" si="21"/>
        <v>2022</v>
      </c>
      <c r="AG73" s="446">
        <f t="shared" si="22"/>
        <v>4044</v>
      </c>
      <c r="AH73" s="435">
        <f t="shared" si="23"/>
        <v>0</v>
      </c>
      <c r="AI73" s="440"/>
    </row>
    <row r="74" spans="27:35">
      <c r="AA74" s="471"/>
      <c r="AB74" s="465" t="str">
        <f t="shared" si="17"/>
        <v>Codo 45 3"</v>
      </c>
      <c r="AC74" s="466" t="str">
        <f t="shared" si="18"/>
        <v>un</v>
      </c>
      <c r="AD74" s="466">
        <f t="shared" si="19"/>
        <v>2</v>
      </c>
      <c r="AE74" s="446">
        <f t="shared" si="20"/>
        <v>2028</v>
      </c>
      <c r="AF74" s="446">
        <f t="shared" si="21"/>
        <v>2028</v>
      </c>
      <c r="AG74" s="446">
        <f t="shared" si="22"/>
        <v>4056</v>
      </c>
      <c r="AH74" s="435">
        <f t="shared" si="23"/>
        <v>8112</v>
      </c>
      <c r="AI74" s="440"/>
    </row>
    <row r="75" spans="27:35">
      <c r="AA75" s="471"/>
      <c r="AB75" s="465" t="str">
        <f t="shared" si="17"/>
        <v>Tee 3"</v>
      </c>
      <c r="AC75" s="466" t="str">
        <f t="shared" si="18"/>
        <v>un</v>
      </c>
      <c r="AD75" s="466">
        <f t="shared" si="19"/>
        <v>1</v>
      </c>
      <c r="AE75" s="446">
        <f t="shared" si="20"/>
        <v>2034</v>
      </c>
      <c r="AF75" s="446">
        <f t="shared" si="21"/>
        <v>2034</v>
      </c>
      <c r="AG75" s="446">
        <f t="shared" si="22"/>
        <v>4068</v>
      </c>
      <c r="AH75" s="435">
        <f t="shared" si="23"/>
        <v>4068</v>
      </c>
      <c r="AI75" s="440"/>
    </row>
    <row r="76" spans="27:35">
      <c r="AA76" s="471"/>
      <c r="AB76" s="465" t="str">
        <f t="shared" si="17"/>
        <v>Uniones 3"</v>
      </c>
      <c r="AC76" s="466" t="str">
        <f t="shared" si="18"/>
        <v>un</v>
      </c>
      <c r="AD76" s="466">
        <f t="shared" si="19"/>
        <v>0</v>
      </c>
      <c r="AE76" s="446">
        <f t="shared" si="20"/>
        <v>2040</v>
      </c>
      <c r="AF76" s="446">
        <f t="shared" si="21"/>
        <v>2040</v>
      </c>
      <c r="AG76" s="446">
        <f t="shared" si="22"/>
        <v>4080</v>
      </c>
      <c r="AH76" s="435">
        <f t="shared" si="23"/>
        <v>0</v>
      </c>
      <c r="AI76" s="440"/>
    </row>
    <row r="77" spans="27:35">
      <c r="AA77" s="471"/>
      <c r="AB77" s="465" t="str">
        <f t="shared" si="17"/>
        <v>Yee 3"</v>
      </c>
      <c r="AC77" s="466" t="str">
        <f t="shared" si="18"/>
        <v>un</v>
      </c>
      <c r="AD77" s="466">
        <f t="shared" si="19"/>
        <v>0</v>
      </c>
      <c r="AE77" s="446">
        <f t="shared" si="20"/>
        <v>2046</v>
      </c>
      <c r="AF77" s="446">
        <f t="shared" si="21"/>
        <v>2046</v>
      </c>
      <c r="AG77" s="446">
        <f t="shared" si="22"/>
        <v>4092</v>
      </c>
      <c r="AH77" s="435">
        <f t="shared" si="23"/>
        <v>0</v>
      </c>
      <c r="AI77" s="440"/>
    </row>
    <row r="78" spans="27:35">
      <c r="AA78" s="471"/>
      <c r="AB78" s="465" t="str">
        <f t="shared" si="17"/>
        <v>Válvula de globo 3"</v>
      </c>
      <c r="AC78" s="466" t="str">
        <f t="shared" si="18"/>
        <v>un</v>
      </c>
      <c r="AD78" s="466">
        <f t="shared" si="19"/>
        <v>0</v>
      </c>
      <c r="AE78" s="446">
        <f t="shared" si="20"/>
        <v>1004</v>
      </c>
      <c r="AF78" s="446">
        <f t="shared" si="21"/>
        <v>2004</v>
      </c>
      <c r="AG78" s="446">
        <f t="shared" si="22"/>
        <v>3008</v>
      </c>
      <c r="AH78" s="435">
        <f t="shared" si="23"/>
        <v>0</v>
      </c>
      <c r="AI78" s="440"/>
    </row>
    <row r="79" spans="27:35">
      <c r="AA79" s="471"/>
      <c r="AB79" s="465" t="str">
        <f t="shared" si="17"/>
        <v>Válvula de mariposa 3"</v>
      </c>
      <c r="AC79" s="466" t="str">
        <f t="shared" si="18"/>
        <v>un</v>
      </c>
      <c r="AD79" s="466">
        <f t="shared" si="19"/>
        <v>0</v>
      </c>
      <c r="AE79" s="446">
        <f t="shared" si="20"/>
        <v>1010</v>
      </c>
      <c r="AF79" s="446">
        <f t="shared" si="21"/>
        <v>2010</v>
      </c>
      <c r="AG79" s="446">
        <f t="shared" si="22"/>
        <v>3020</v>
      </c>
      <c r="AH79" s="435">
        <f t="shared" si="23"/>
        <v>0</v>
      </c>
      <c r="AI79" s="440"/>
    </row>
    <row r="80" spans="27:35">
      <c r="AA80" s="471"/>
      <c r="AB80" s="465" t="str">
        <f t="shared" si="17"/>
        <v>Válvula de Cheque 3"</v>
      </c>
      <c r="AC80" s="466" t="str">
        <f t="shared" si="18"/>
        <v>un</v>
      </c>
      <c r="AD80" s="466">
        <f t="shared" si="19"/>
        <v>0</v>
      </c>
      <c r="AE80" s="446">
        <f t="shared" si="20"/>
        <v>1016</v>
      </c>
      <c r="AF80" s="446">
        <f t="shared" si="21"/>
        <v>2016</v>
      </c>
      <c r="AG80" s="446">
        <f t="shared" si="22"/>
        <v>3032</v>
      </c>
      <c r="AH80" s="435">
        <f t="shared" si="23"/>
        <v>0</v>
      </c>
      <c r="AI80" s="440"/>
    </row>
    <row r="81" spans="27:35">
      <c r="AA81" s="471"/>
      <c r="AB81" s="465" t="str">
        <f t="shared" si="17"/>
        <v>Válvula de compuerta 3"</v>
      </c>
      <c r="AC81" s="466" t="str">
        <f t="shared" si="18"/>
        <v>un</v>
      </c>
      <c r="AD81" s="466">
        <f t="shared" si="19"/>
        <v>0</v>
      </c>
      <c r="AE81" s="446">
        <f t="shared" si="20"/>
        <v>1022</v>
      </c>
      <c r="AF81" s="446">
        <f t="shared" si="21"/>
        <v>2022</v>
      </c>
      <c r="AG81" s="446">
        <f t="shared" si="22"/>
        <v>3044</v>
      </c>
      <c r="AH81" s="435">
        <f t="shared" si="23"/>
        <v>0</v>
      </c>
      <c r="AI81" s="440"/>
    </row>
    <row r="82" spans="27:35" ht="16.5" thickBot="1">
      <c r="AA82" s="471"/>
      <c r="AB82" s="555" t="s">
        <v>620</v>
      </c>
      <c r="AC82" s="556"/>
      <c r="AD82" s="556"/>
      <c r="AE82" s="556"/>
      <c r="AF82" s="556"/>
      <c r="AG82" s="556"/>
      <c r="AH82" s="477">
        <f>SUM(AH70:AH81)</f>
        <v>224640</v>
      </c>
      <c r="AI82" s="440"/>
    </row>
    <row r="83" spans="27:35" ht="15.75" thickBot="1">
      <c r="AA83" s="441"/>
      <c r="AB83" s="442"/>
      <c r="AC83" s="442"/>
      <c r="AD83" s="442"/>
      <c r="AE83" s="442"/>
      <c r="AF83" s="442"/>
      <c r="AG83" s="442"/>
      <c r="AH83" s="442"/>
      <c r="AI83" s="443"/>
    </row>
    <row r="84" spans="27:35" ht="15.75" thickTop="1"/>
  </sheetData>
  <mergeCells count="48">
    <mergeCell ref="N2:O2"/>
    <mergeCell ref="R2:S2"/>
    <mergeCell ref="B2:F2"/>
    <mergeCell ref="C12:D12"/>
    <mergeCell ref="C7:D7"/>
    <mergeCell ref="C8:D8"/>
    <mergeCell ref="C9:D9"/>
    <mergeCell ref="C10:D10"/>
    <mergeCell ref="C11:D11"/>
    <mergeCell ref="J9:J12"/>
    <mergeCell ref="B4:C4"/>
    <mergeCell ref="R14:Y14"/>
    <mergeCell ref="V6:W6"/>
    <mergeCell ref="V3:W3"/>
    <mergeCell ref="V4:W4"/>
    <mergeCell ref="V5:W5"/>
    <mergeCell ref="I14:P14"/>
    <mergeCell ref="B15:B16"/>
    <mergeCell ref="I16:J17"/>
    <mergeCell ref="K16:K17"/>
    <mergeCell ref="L16:L17"/>
    <mergeCell ref="M16:M17"/>
    <mergeCell ref="N16:N17"/>
    <mergeCell ref="O16:O17"/>
    <mergeCell ref="P16:P17"/>
    <mergeCell ref="X16:X17"/>
    <mergeCell ref="Y16:Y17"/>
    <mergeCell ref="R16:S17"/>
    <mergeCell ref="T16:T17"/>
    <mergeCell ref="U16:U17"/>
    <mergeCell ref="V16:V17"/>
    <mergeCell ref="W16:W17"/>
    <mergeCell ref="AB69:AH69"/>
    <mergeCell ref="AB10:AH10"/>
    <mergeCell ref="AB68:AG68"/>
    <mergeCell ref="AB82:AG82"/>
    <mergeCell ref="AA2:AI2"/>
    <mergeCell ref="AB3:AH4"/>
    <mergeCell ref="AG11:AG12"/>
    <mergeCell ref="AH11:AH12"/>
    <mergeCell ref="AB11:AB12"/>
    <mergeCell ref="AB13:AH13"/>
    <mergeCell ref="AB5:AG5"/>
    <mergeCell ref="AB6:AB7"/>
    <mergeCell ref="AC11:AC12"/>
    <mergeCell ref="AD11:AD12"/>
    <mergeCell ref="AE11:AE12"/>
    <mergeCell ref="AF11:AF12"/>
  </mergeCells>
  <pageMargins left="0.7" right="0.7" top="0.75" bottom="0.75" header="0.3" footer="0.3"/>
  <legacyDrawing r:id="rId1"/>
  <controls>
    <control shapeId="4097" r:id="rId2" name="CommandButton1"/>
  </controls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2"/>
  <dimension ref="A1:N22"/>
  <sheetViews>
    <sheetView zoomScaleNormal="100" zoomScaleSheetLayoutView="85" workbookViewId="0">
      <selection activeCell="F20" sqref="F20"/>
    </sheetView>
  </sheetViews>
  <sheetFormatPr baseColWidth="10" defaultRowHeight="15"/>
  <cols>
    <col min="1" max="1" width="28.42578125" style="174" bestFit="1" customWidth="1"/>
    <col min="2" max="2" width="12" style="174" customWidth="1"/>
    <col min="3" max="4" width="11.28515625" style="174" bestFit="1" customWidth="1"/>
    <col min="5" max="7" width="8.85546875" style="174" customWidth="1"/>
    <col min="8" max="47" width="12.7109375" style="174" customWidth="1"/>
    <col min="48" max="16384" width="11.42578125" style="174"/>
  </cols>
  <sheetData>
    <row r="1" spans="1:4">
      <c r="A1" s="489" t="s">
        <v>31</v>
      </c>
      <c r="B1" s="491" t="s">
        <v>445</v>
      </c>
      <c r="C1" s="309" t="s">
        <v>446</v>
      </c>
      <c r="D1" s="310" t="s">
        <v>447</v>
      </c>
    </row>
    <row r="2" spans="1:4" ht="15" customHeight="1" thickBot="1">
      <c r="A2" s="492"/>
      <c r="B2" s="494"/>
      <c r="C2" s="316" t="s">
        <v>444</v>
      </c>
      <c r="D2" s="308" t="s">
        <v>444</v>
      </c>
    </row>
    <row r="3" spans="1:4" ht="15" customHeight="1">
      <c r="A3" s="172" t="s">
        <v>40</v>
      </c>
      <c r="B3" s="181">
        <v>10</v>
      </c>
      <c r="C3" s="314">
        <f>B3*'Datos de entrada'!F23</f>
        <v>0</v>
      </c>
      <c r="D3" s="315">
        <f>B3*'Datos de entrada'!G23</f>
        <v>0</v>
      </c>
    </row>
    <row r="4" spans="1:4" ht="15" customHeight="1">
      <c r="A4" s="173" t="s">
        <v>430</v>
      </c>
      <c r="B4" s="175">
        <v>5</v>
      </c>
      <c r="C4" s="42">
        <f>B4*'Datos de entrada'!F24</f>
        <v>0</v>
      </c>
      <c r="D4" s="311">
        <f>B4*'Datos de entrada'!G24</f>
        <v>0</v>
      </c>
    </row>
    <row r="5" spans="1:4" ht="15" customHeight="1">
      <c r="A5" s="173" t="s">
        <v>431</v>
      </c>
      <c r="B5" s="175">
        <v>2.5</v>
      </c>
      <c r="C5" s="42">
        <f>B5*'Datos de entrada'!F25</f>
        <v>2.5</v>
      </c>
      <c r="D5" s="311">
        <f>B5*'Datos de entrada'!G25</f>
        <v>0</v>
      </c>
    </row>
    <row r="6" spans="1:4" ht="15" customHeight="1">
      <c r="A6" s="173" t="s">
        <v>39</v>
      </c>
      <c r="B6" s="175">
        <v>0.2</v>
      </c>
      <c r="C6" s="42">
        <f>B6*'Datos de entrada'!F26</f>
        <v>0.2</v>
      </c>
      <c r="D6" s="311">
        <f>B6*'Datos de entrada'!G26</f>
        <v>0</v>
      </c>
    </row>
    <row r="7" spans="1:4" ht="15" customHeight="1">
      <c r="A7" s="173" t="s">
        <v>432</v>
      </c>
      <c r="B7" s="175">
        <v>0.9</v>
      </c>
      <c r="C7" s="42">
        <f>B7*'Datos de entrada'!F27</f>
        <v>0</v>
      </c>
      <c r="D7" s="311">
        <f>B7*'Datos de entrada'!G27</f>
        <v>2.7</v>
      </c>
    </row>
    <row r="8" spans="1:4" ht="15" customHeight="1">
      <c r="A8" s="173" t="s">
        <v>433</v>
      </c>
      <c r="B8" s="175">
        <v>0.8</v>
      </c>
      <c r="C8" s="42">
        <f>B8*'Datos de entrada'!F28</f>
        <v>0</v>
      </c>
      <c r="D8" s="311">
        <f>B8*'Datos de entrada'!G28</f>
        <v>0</v>
      </c>
    </row>
    <row r="9" spans="1:4" ht="15" customHeight="1">
      <c r="A9" s="173" t="s">
        <v>434</v>
      </c>
      <c r="B9" s="175">
        <v>0.6</v>
      </c>
      <c r="C9" s="42">
        <f>B9*'Datos de entrada'!F29</f>
        <v>0.6</v>
      </c>
      <c r="D9" s="311">
        <f>B9*'Datos de entrada'!G29</f>
        <v>0</v>
      </c>
    </row>
    <row r="10" spans="1:4" ht="15" customHeight="1">
      <c r="A10" s="173" t="s">
        <v>33</v>
      </c>
      <c r="B10" s="175">
        <v>0.4</v>
      </c>
      <c r="C10" s="42">
        <f>B10*'Datos de entrada'!F30</f>
        <v>0</v>
      </c>
      <c r="D10" s="311">
        <f>B10*'Datos de entrada'!G30</f>
        <v>0.8</v>
      </c>
    </row>
    <row r="11" spans="1:4" ht="15" customHeight="1">
      <c r="A11" s="173" t="s">
        <v>435</v>
      </c>
      <c r="B11" s="175">
        <v>0.3</v>
      </c>
      <c r="C11" s="42">
        <f>B11*'Datos de entrada'!F31</f>
        <v>0.6</v>
      </c>
      <c r="D11" s="311">
        <f>B11*'Datos de entrada'!G31</f>
        <v>0.3</v>
      </c>
    </row>
    <row r="12" spans="1:4" ht="15" customHeight="1">
      <c r="A12" s="173" t="s">
        <v>436</v>
      </c>
      <c r="B12" s="175">
        <v>1.8</v>
      </c>
      <c r="C12" s="42">
        <f>B12*'Datos de entrada'!F32</f>
        <v>0</v>
      </c>
      <c r="D12" s="311">
        <f>B12*'Datos de entrada'!G32</f>
        <v>0</v>
      </c>
    </row>
    <row r="13" spans="1:4" ht="15" customHeight="1">
      <c r="A13" s="173" t="s">
        <v>35</v>
      </c>
      <c r="B13" s="175">
        <v>0.3</v>
      </c>
      <c r="C13" s="42">
        <f>B13*'Datos de entrada'!F33</f>
        <v>0.3</v>
      </c>
      <c r="D13" s="311">
        <f>B13*'Datos de entrada'!G33</f>
        <v>0</v>
      </c>
    </row>
    <row r="14" spans="1:4" ht="15" customHeight="1">
      <c r="A14" s="173" t="s">
        <v>437</v>
      </c>
      <c r="B14" s="175">
        <v>0.3</v>
      </c>
      <c r="C14" s="42">
        <f>B14*'Datos de entrada'!F34</f>
        <v>0</v>
      </c>
      <c r="D14" s="311">
        <f>B14*'Datos de entrada'!G34</f>
        <v>0</v>
      </c>
    </row>
    <row r="15" spans="1:4" ht="15" customHeight="1">
      <c r="A15" s="173" t="s">
        <v>438</v>
      </c>
      <c r="B15" s="175">
        <v>0.8</v>
      </c>
      <c r="C15" s="42">
        <f>B15*'Datos de entrada'!F35</f>
        <v>0</v>
      </c>
      <c r="D15" s="311">
        <f>B15*'Datos de entrada'!G35</f>
        <v>0</v>
      </c>
    </row>
    <row r="16" spans="1:4" ht="15" customHeight="1">
      <c r="A16" s="173" t="s">
        <v>439</v>
      </c>
      <c r="B16" s="175">
        <v>0.5</v>
      </c>
      <c r="C16" s="42">
        <f>B16*'Datos de entrada'!F36</f>
        <v>0</v>
      </c>
      <c r="D16" s="311">
        <f>B16*'Datos de entrada'!G36</f>
        <v>0</v>
      </c>
    </row>
    <row r="17" spans="1:14" ht="15" customHeight="1">
      <c r="A17" s="173" t="s">
        <v>440</v>
      </c>
      <c r="B17" s="175">
        <v>0.1</v>
      </c>
      <c r="C17" s="42">
        <f>B17*'Datos de entrada'!F37</f>
        <v>0</v>
      </c>
      <c r="D17" s="311">
        <f>B17*'Datos de entrada'!G37</f>
        <v>0</v>
      </c>
    </row>
    <row r="18" spans="1:14" ht="15" customHeight="1">
      <c r="A18" s="173" t="s">
        <v>441</v>
      </c>
      <c r="B18" s="175">
        <v>0.9</v>
      </c>
      <c r="C18" s="42">
        <f>B18*'Datos de entrada'!F38</f>
        <v>0</v>
      </c>
      <c r="D18" s="311">
        <f>B18*'Datos de entrada'!G38</f>
        <v>0</v>
      </c>
    </row>
    <row r="19" spans="1:14" ht="15" customHeight="1" thickBot="1">
      <c r="A19" s="189" t="s">
        <v>34</v>
      </c>
      <c r="B19" s="190">
        <v>1</v>
      </c>
      <c r="C19" s="312">
        <f>B19*'Datos de entrada'!F39</f>
        <v>0</v>
      </c>
      <c r="D19" s="313">
        <f>B19*'Datos de entrada'!G39</f>
        <v>1</v>
      </c>
    </row>
    <row r="20" spans="1:14" ht="15" customHeight="1">
      <c r="A20" s="334" t="s">
        <v>470</v>
      </c>
      <c r="B20" s="176"/>
      <c r="C20" s="11"/>
    </row>
    <row r="21" spans="1:14" ht="15" customHeight="1">
      <c r="A21" s="177"/>
      <c r="B21" s="27"/>
      <c r="C21" s="27"/>
      <c r="D21" s="27"/>
      <c r="E21" s="27"/>
      <c r="F21" s="27"/>
      <c r="G21" s="27"/>
      <c r="H21" s="27"/>
    </row>
    <row r="22" spans="1:14">
      <c r="A22" s="27"/>
      <c r="B22" s="27"/>
      <c r="F22" s="27"/>
      <c r="G22" s="27"/>
      <c r="H22" s="178"/>
      <c r="I22" s="178"/>
      <c r="J22" s="179"/>
      <c r="N22" s="180"/>
    </row>
  </sheetData>
  <mergeCells count="2">
    <mergeCell ref="B1:B2"/>
    <mergeCell ref="A1:A2"/>
  </mergeCells>
  <pageMargins left="0.7" right="0.7" top="1.3149999999999999" bottom="0.75" header="0.3" footer="0.3"/>
  <pageSetup scale="7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3"/>
  <dimension ref="A1:AB58"/>
  <sheetViews>
    <sheetView topLeftCell="A10" zoomScaleNormal="100" zoomScaleSheetLayoutView="100" workbookViewId="0">
      <selection activeCell="G30" sqref="G30"/>
    </sheetView>
  </sheetViews>
  <sheetFormatPr baseColWidth="10" defaultColWidth="9.85546875" defaultRowHeight="15"/>
  <cols>
    <col min="1" max="1" width="3.7109375" style="7" customWidth="1"/>
    <col min="2" max="2" width="8" style="7" bestFit="1" customWidth="1"/>
    <col min="3" max="3" width="5.5703125" style="7" bestFit="1" customWidth="1"/>
    <col min="4" max="4" width="8.7109375" style="7" bestFit="1" customWidth="1"/>
    <col min="5" max="5" width="10.5703125" style="7" bestFit="1" customWidth="1"/>
    <col min="6" max="7" width="11.85546875" style="7" bestFit="1" customWidth="1"/>
    <col min="8" max="8" width="12.5703125" style="7" customWidth="1"/>
    <col min="9" max="9" width="5.5703125" style="7" bestFit="1" customWidth="1"/>
    <col min="10" max="10" width="8.7109375" style="7" bestFit="1" customWidth="1"/>
    <col min="11" max="11" width="8" style="7" bestFit="1" customWidth="1"/>
    <col min="12" max="12" width="7.7109375" style="7" bestFit="1" customWidth="1"/>
    <col min="13" max="13" width="11" style="7" bestFit="1" customWidth="1"/>
    <col min="14" max="14" width="13.5703125" style="7" customWidth="1"/>
    <col min="15" max="15" width="3.7109375" style="7" customWidth="1"/>
    <col min="16" max="17" width="9.85546875" style="12"/>
    <col min="18" max="18" width="3.7109375" style="12" customWidth="1"/>
    <col min="19" max="19" width="9.85546875" style="12"/>
    <col min="20" max="20" width="3.7109375" style="12" customWidth="1"/>
    <col min="21" max="21" width="7.140625" style="22" bestFit="1" customWidth="1"/>
    <col min="22" max="22" width="5.5703125" style="22" bestFit="1" customWidth="1"/>
    <col min="23" max="23" width="5" style="22" bestFit="1" customWidth="1"/>
    <col min="24" max="24" width="3.7109375" style="22" customWidth="1"/>
    <col min="25" max="25" width="9.85546875" style="22"/>
    <col min="26" max="16384" width="9.85546875" style="7"/>
  </cols>
  <sheetData>
    <row r="1" spans="1:28" ht="18.75">
      <c r="A1" s="611" t="s">
        <v>450</v>
      </c>
      <c r="B1" s="611"/>
      <c r="C1" s="611"/>
      <c r="D1" s="611"/>
      <c r="E1" s="611"/>
      <c r="F1" s="611"/>
      <c r="G1" s="611"/>
      <c r="H1" s="611"/>
      <c r="I1" s="611"/>
      <c r="J1" s="611"/>
      <c r="K1" s="611"/>
      <c r="L1" s="611"/>
    </row>
    <row r="3" spans="1:28" ht="15.75" thickBot="1"/>
    <row r="4" spans="1:28" ht="15.75" thickBot="1">
      <c r="C4" s="517" t="s">
        <v>61</v>
      </c>
      <c r="D4" s="518"/>
      <c r="E4" s="518"/>
      <c r="F4" s="242" t="s">
        <v>53</v>
      </c>
      <c r="G4" s="144" t="s">
        <v>54</v>
      </c>
    </row>
    <row r="5" spans="1:28">
      <c r="C5" s="614" t="s">
        <v>55</v>
      </c>
      <c r="D5" s="615"/>
      <c r="E5" s="615"/>
      <c r="F5" s="243">
        <f>'Linea de impulsión'!D10</f>
        <v>3.3999999999999986</v>
      </c>
      <c r="G5" s="17">
        <f>'Linea de impulsión'!H10</f>
        <v>50</v>
      </c>
      <c r="J5" s="620" t="s">
        <v>5</v>
      </c>
      <c r="K5" s="621"/>
      <c r="L5" s="621"/>
      <c r="M5" s="247">
        <f>'Datos de entrada'!F11</f>
        <v>47</v>
      </c>
      <c r="N5" s="248" t="s">
        <v>4</v>
      </c>
    </row>
    <row r="6" spans="1:28">
      <c r="C6" s="616" t="s">
        <v>56</v>
      </c>
      <c r="D6" s="617"/>
      <c r="E6" s="617"/>
      <c r="F6" s="169">
        <f>'Linea de impulsión'!D18</f>
        <v>2.5</v>
      </c>
      <c r="G6" s="15">
        <f>'Linea de impulsión'!H18</f>
        <v>3</v>
      </c>
      <c r="J6" s="622" t="s">
        <v>285</v>
      </c>
      <c r="K6" s="623"/>
      <c r="L6" s="623"/>
      <c r="M6" s="102">
        <f>'Pozo humedo'!D16</f>
        <v>43.35</v>
      </c>
      <c r="N6" s="96" t="s">
        <v>4</v>
      </c>
    </row>
    <row r="7" spans="1:28" ht="15.75" thickBot="1">
      <c r="C7" s="616" t="s">
        <v>57</v>
      </c>
      <c r="D7" s="617"/>
      <c r="E7" s="617"/>
      <c r="F7" s="160">
        <f>'Linea de impulsión'!D19</f>
        <v>0.25</v>
      </c>
      <c r="G7" s="194">
        <f>'Linea de impulsión'!H19</f>
        <v>0.03</v>
      </c>
      <c r="J7" s="624" t="s">
        <v>286</v>
      </c>
      <c r="K7" s="625"/>
      <c r="L7" s="625"/>
      <c r="M7" s="104">
        <f>'Pozo humedo'!D17</f>
        <v>42.15</v>
      </c>
      <c r="N7" s="98" t="s">
        <v>4</v>
      </c>
    </row>
    <row r="8" spans="1:28">
      <c r="C8" s="616" t="s">
        <v>58</v>
      </c>
      <c r="D8" s="617"/>
      <c r="E8" s="617"/>
      <c r="F8" s="244">
        <f>'Linea de impulsión'!D21</f>
        <v>1.139E-6</v>
      </c>
      <c r="G8" s="237">
        <f>'Linea de impulsión'!H21</f>
        <v>1.139E-6</v>
      </c>
    </row>
    <row r="9" spans="1:28" ht="15.75" thickBot="1">
      <c r="C9" s="618" t="s">
        <v>59</v>
      </c>
      <c r="D9" s="619"/>
      <c r="E9" s="619"/>
      <c r="F9" s="245">
        <f>'Linea de impulsión'!D26</f>
        <v>4.2</v>
      </c>
      <c r="G9" s="16">
        <f>'Linea de impulsión'!H26</f>
        <v>4.8</v>
      </c>
    </row>
    <row r="11" spans="1:28" ht="15.75" thickBot="1"/>
    <row r="12" spans="1:28" s="8" customFormat="1" ht="18.75">
      <c r="A12" s="238"/>
      <c r="B12" s="612" t="s">
        <v>64</v>
      </c>
      <c r="C12" s="612"/>
      <c r="D12" s="612"/>
      <c r="E12" s="612"/>
      <c r="F12" s="612"/>
      <c r="G12" s="612"/>
      <c r="H12" s="612"/>
      <c r="I12" s="612"/>
      <c r="J12" s="612"/>
      <c r="K12" s="612"/>
      <c r="L12" s="612"/>
      <c r="M12" s="612"/>
      <c r="N12" s="613"/>
      <c r="O12" s="613"/>
      <c r="P12" s="246"/>
      <c r="Q12" s="246"/>
      <c r="R12" s="239"/>
      <c r="T12" s="608" t="s">
        <v>63</v>
      </c>
      <c r="U12" s="609"/>
      <c r="V12" s="609"/>
      <c r="W12" s="609"/>
      <c r="X12" s="610"/>
      <c r="Y12" s="23"/>
    </row>
    <row r="13" spans="1:28" s="8" customFormat="1" ht="16.5" thickBot="1">
      <c r="A13" s="2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R13" s="25"/>
      <c r="T13" s="24"/>
      <c r="U13" s="607" t="str">
        <f>VLOOKUP("X",'Bombas coincidentes'!$B$17:$C$56,2,FALSE)</f>
        <v>DRV/A50-155-1.8M</v>
      </c>
      <c r="V13" s="607"/>
      <c r="W13" s="607"/>
      <c r="X13" s="25"/>
    </row>
    <row r="14" spans="1:28" s="241" customFormat="1" ht="15.75" thickBot="1">
      <c r="A14" s="240"/>
      <c r="B14" s="598" t="s">
        <v>47</v>
      </c>
      <c r="C14" s="602" t="s">
        <v>51</v>
      </c>
      <c r="D14" s="603"/>
      <c r="E14" s="603"/>
      <c r="F14" s="603"/>
      <c r="G14" s="603"/>
      <c r="H14" s="604"/>
      <c r="I14" s="602" t="s">
        <v>60</v>
      </c>
      <c r="J14" s="603"/>
      <c r="K14" s="603"/>
      <c r="L14" s="603"/>
      <c r="M14" s="603"/>
      <c r="N14" s="604"/>
      <c r="O14" s="8"/>
      <c r="P14" s="605" t="s">
        <v>453</v>
      </c>
      <c r="Q14" s="606"/>
      <c r="R14" s="25"/>
      <c r="S14" s="8"/>
      <c r="T14" s="24"/>
      <c r="U14" s="489" t="s">
        <v>47</v>
      </c>
      <c r="V14" s="490"/>
      <c r="W14" s="293" t="s">
        <v>48</v>
      </c>
      <c r="X14" s="32"/>
      <c r="Y14" s="600"/>
      <c r="Z14" s="600"/>
      <c r="AA14" s="8"/>
      <c r="AB14" s="8"/>
    </row>
    <row r="15" spans="1:28" s="241" customFormat="1" ht="30.75" thickBot="1">
      <c r="A15" s="240"/>
      <c r="B15" s="599"/>
      <c r="C15" s="279" t="s">
        <v>52</v>
      </c>
      <c r="D15" s="280" t="s">
        <v>442</v>
      </c>
      <c r="E15" s="280" t="s">
        <v>17</v>
      </c>
      <c r="F15" s="280" t="s">
        <v>62</v>
      </c>
      <c r="G15" s="280" t="s">
        <v>30</v>
      </c>
      <c r="H15" s="281" t="s">
        <v>449</v>
      </c>
      <c r="I15" s="279" t="s">
        <v>52</v>
      </c>
      <c r="J15" s="280" t="s">
        <v>442</v>
      </c>
      <c r="K15" s="280" t="s">
        <v>17</v>
      </c>
      <c r="L15" s="280" t="s">
        <v>62</v>
      </c>
      <c r="M15" s="280" t="s">
        <v>30</v>
      </c>
      <c r="N15" s="281" t="s">
        <v>449</v>
      </c>
      <c r="O15" s="8"/>
      <c r="P15" s="286" t="s">
        <v>451</v>
      </c>
      <c r="Q15" s="287" t="s">
        <v>452</v>
      </c>
      <c r="R15" s="25"/>
      <c r="S15" s="8"/>
      <c r="T15" s="24"/>
      <c r="U15" s="296" t="s">
        <v>455</v>
      </c>
      <c r="V15" s="297" t="s">
        <v>456</v>
      </c>
      <c r="W15" s="298" t="s">
        <v>457</v>
      </c>
      <c r="X15" s="32"/>
      <c r="Y15" s="600"/>
      <c r="Z15" s="600"/>
      <c r="AA15" s="8"/>
      <c r="AB15" s="8"/>
    </row>
    <row r="16" spans="1:28" s="241" customFormat="1" ht="15.75" thickBot="1">
      <c r="A16" s="240"/>
      <c r="B16" s="285" t="s">
        <v>49</v>
      </c>
      <c r="C16" s="282" t="s">
        <v>50</v>
      </c>
      <c r="D16" s="283" t="s">
        <v>0</v>
      </c>
      <c r="E16" s="283"/>
      <c r="F16" s="283"/>
      <c r="G16" s="283" t="s">
        <v>0</v>
      </c>
      <c r="H16" s="284" t="s">
        <v>0</v>
      </c>
      <c r="I16" s="282" t="s">
        <v>50</v>
      </c>
      <c r="J16" s="283" t="s">
        <v>0</v>
      </c>
      <c r="K16" s="283"/>
      <c r="L16" s="283"/>
      <c r="M16" s="283" t="s">
        <v>0</v>
      </c>
      <c r="N16" s="284" t="s">
        <v>0</v>
      </c>
      <c r="O16" s="8"/>
      <c r="P16" s="288" t="s">
        <v>0</v>
      </c>
      <c r="Q16" s="289" t="s">
        <v>0</v>
      </c>
      <c r="R16" s="25"/>
      <c r="S16" s="8"/>
      <c r="T16" s="24"/>
      <c r="U16" s="20">
        <f>VLOOKUP($U$13,'Base de datos'!$C$4:$S$113,2,FALSE)</f>
        <v>2.4</v>
      </c>
      <c r="V16" s="168">
        <f>U16/3.6</f>
        <v>0.66666666666666663</v>
      </c>
      <c r="W16" s="295">
        <f>VLOOKUP($U$13,'Base de datos'!$C$4:$S$113,9,FALSE)</f>
        <v>14</v>
      </c>
      <c r="X16" s="32"/>
      <c r="Y16" s="26"/>
      <c r="Z16" s="26"/>
    </row>
    <row r="17" spans="1:28" s="174" customFormat="1">
      <c r="A17" s="177"/>
      <c r="B17" s="261">
        <f>(Q/3.6)/7*0</f>
        <v>0</v>
      </c>
      <c r="C17" s="262">
        <f t="shared" ref="C17:C27" si="0">(B17/1000)/(PI()*($F$6*0.0254)^2/4)</f>
        <v>0</v>
      </c>
      <c r="D17" s="263">
        <f t="shared" ref="D17:D27" si="1">$F$9*C17^2/(2*9.81)</f>
        <v>0</v>
      </c>
      <c r="E17" s="264">
        <f t="shared" ref="E17:E27" si="2">C17*($F$6*0.0254)/$F$8</f>
        <v>0</v>
      </c>
      <c r="F17" s="265">
        <v>0</v>
      </c>
      <c r="G17" s="263">
        <f t="shared" ref="G17:G27" si="3">F17*$F$5/($F$6*0.0254)*C17^2/(2*9.81)</f>
        <v>0</v>
      </c>
      <c r="H17" s="266">
        <f t="shared" ref="H17:H27" si="4">D17+G17</f>
        <v>0</v>
      </c>
      <c r="I17" s="267">
        <f t="shared" ref="I17:I27" si="5">(B17/1000)/(PI()*($G$6*0.0254)^2/4)</f>
        <v>0</v>
      </c>
      <c r="J17" s="268">
        <f t="shared" ref="J17:J27" si="6">$G$9*I17^2/(2*9.81)</f>
        <v>0</v>
      </c>
      <c r="K17" s="269">
        <f t="shared" ref="K17:K27" si="7">I17*($G$6*0.0254)/$G$8</f>
        <v>0</v>
      </c>
      <c r="L17" s="265">
        <v>0</v>
      </c>
      <c r="M17" s="268">
        <f t="shared" ref="M17:M27" si="8">L17*$G$5/($G$6*0.0254)*I17^2/(2*9.81)</f>
        <v>0</v>
      </c>
      <c r="N17" s="270">
        <f t="shared" ref="N17:N27" si="9">J17+M17</f>
        <v>0</v>
      </c>
      <c r="O17" s="8"/>
      <c r="P17" s="253">
        <f t="shared" ref="P17:P27" si="10">$M$5-$M$7+H17+N17</f>
        <v>4.8500000000000014</v>
      </c>
      <c r="Q17" s="153">
        <f t="shared" ref="Q17:Q27" si="11">$M$5-$M$6+H17+N17</f>
        <v>3.6499999999999986</v>
      </c>
      <c r="R17" s="25"/>
      <c r="S17" s="8"/>
      <c r="T17" s="24"/>
      <c r="U17" s="18">
        <f>VLOOKUP($U$13,'Base de datos'!$C$4:$S$113,3,FALSE)</f>
        <v>6</v>
      </c>
      <c r="V17" s="38">
        <f t="shared" ref="V17:V22" si="12">U17/3.6</f>
        <v>1.6666666666666665</v>
      </c>
      <c r="W17" s="194">
        <f>VLOOKUP($U$13,'Base de datos'!$C$4:$S$113,10,FALSE)</f>
        <v>12.7</v>
      </c>
      <c r="X17" s="33"/>
      <c r="Y17" s="27"/>
      <c r="Z17" s="27"/>
    </row>
    <row r="18" spans="1:28">
      <c r="A18" s="24"/>
      <c r="B18" s="261">
        <f>(Q/3.6)/7*1</f>
        <v>0.79365079365079361</v>
      </c>
      <c r="C18" s="271">
        <f t="shared" si="0"/>
        <v>0.25060637985904571</v>
      </c>
      <c r="D18" s="249">
        <f t="shared" si="1"/>
        <v>1.3444186647779639E-2</v>
      </c>
      <c r="E18" s="272">
        <f t="shared" si="2"/>
        <v>13971.470694512207</v>
      </c>
      <c r="F18" s="273">
        <f t="shared" ref="F18:F27" si="13">ffriccion($F$7/1000,E18,$F$6*0.0254)</f>
        <v>3.4373935219247836E-2</v>
      </c>
      <c r="G18" s="249">
        <f t="shared" si="3"/>
        <v>5.8914159845566668E-3</v>
      </c>
      <c r="H18" s="154">
        <f t="shared" si="4"/>
        <v>1.9335602632336305E-2</v>
      </c>
      <c r="I18" s="271">
        <f t="shared" si="5"/>
        <v>0.17403220823544843</v>
      </c>
      <c r="J18" s="249">
        <f t="shared" si="6"/>
        <v>7.4097148631942465E-3</v>
      </c>
      <c r="K18" s="272">
        <f t="shared" si="7"/>
        <v>11642.892245426838</v>
      </c>
      <c r="L18" s="273">
        <f t="shared" ref="L18:L27" si="14">ffriccion($G$7/1000,K18,$G$6*0.0254)</f>
        <v>3.0232627611714875E-2</v>
      </c>
      <c r="M18" s="249">
        <f t="shared" si="8"/>
        <v>3.0623243406597292E-2</v>
      </c>
      <c r="N18" s="154">
        <f t="shared" si="9"/>
        <v>3.8032958269791542E-2</v>
      </c>
      <c r="O18" s="8"/>
      <c r="P18" s="250">
        <f t="shared" si="10"/>
        <v>4.9073685609021291</v>
      </c>
      <c r="Q18" s="154">
        <f t="shared" si="11"/>
        <v>3.7073685609021263</v>
      </c>
      <c r="R18" s="25"/>
      <c r="S18" s="8"/>
      <c r="T18" s="24"/>
      <c r="U18" s="18">
        <f>VLOOKUP($U$13,'Base de datos'!$C$4:$S$113,4,FALSE)</f>
        <v>9</v>
      </c>
      <c r="V18" s="38">
        <f t="shared" si="12"/>
        <v>2.5</v>
      </c>
      <c r="W18" s="194">
        <f>VLOOKUP($U$13,'Base de datos'!$C$4:$S$113,11,FALSE)</f>
        <v>11.8</v>
      </c>
      <c r="X18" s="28"/>
      <c r="Y18" s="8"/>
      <c r="Z18" s="8"/>
    </row>
    <row r="19" spans="1:28">
      <c r="A19" s="24"/>
      <c r="B19" s="261">
        <f>(Q/3.6)/7*2</f>
        <v>1.5873015873015872</v>
      </c>
      <c r="C19" s="271">
        <f t="shared" si="0"/>
        <v>0.50121275971809143</v>
      </c>
      <c r="D19" s="249">
        <f t="shared" si="1"/>
        <v>5.3776746591118557E-2</v>
      </c>
      <c r="E19" s="272">
        <f t="shared" si="2"/>
        <v>27942.941389024414</v>
      </c>
      <c r="F19" s="273">
        <f t="shared" si="13"/>
        <v>3.1666291115383459E-2</v>
      </c>
      <c r="G19" s="249">
        <f t="shared" si="3"/>
        <v>2.1709390264322153E-2</v>
      </c>
      <c r="H19" s="154">
        <f t="shared" si="4"/>
        <v>7.5486136855440714E-2</v>
      </c>
      <c r="I19" s="271">
        <f t="shared" si="5"/>
        <v>0.34806441647089686</v>
      </c>
      <c r="J19" s="249">
        <f t="shared" si="6"/>
        <v>2.9638859452776986E-2</v>
      </c>
      <c r="K19" s="272">
        <f t="shared" si="7"/>
        <v>23285.784490853675</v>
      </c>
      <c r="L19" s="273">
        <f t="shared" si="14"/>
        <v>2.5775516468849916E-2</v>
      </c>
      <c r="M19" s="249">
        <f t="shared" si="8"/>
        <v>0.10443417950882837</v>
      </c>
      <c r="N19" s="154">
        <f t="shared" si="9"/>
        <v>0.13407303896160536</v>
      </c>
      <c r="O19" s="8"/>
      <c r="P19" s="250">
        <f t="shared" si="10"/>
        <v>5.0595591758170473</v>
      </c>
      <c r="Q19" s="154">
        <f t="shared" si="11"/>
        <v>3.8595591758170449</v>
      </c>
      <c r="R19" s="25"/>
      <c r="S19" s="8"/>
      <c r="T19" s="24"/>
      <c r="U19" s="18">
        <f>VLOOKUP($U$13,'Base de datos'!$C$4:$S$113,5,FALSE)</f>
        <v>12</v>
      </c>
      <c r="V19" s="38">
        <f t="shared" si="12"/>
        <v>3.333333333333333</v>
      </c>
      <c r="W19" s="194">
        <f>VLOOKUP($U$13,'Base de datos'!$C$4:$S$113,12,FALSE)</f>
        <v>10.5</v>
      </c>
      <c r="X19" s="28"/>
      <c r="Y19" s="8"/>
      <c r="Z19" s="8"/>
    </row>
    <row r="20" spans="1:28">
      <c r="A20" s="24"/>
      <c r="B20" s="261">
        <f>(Q/3.6)/7*3</f>
        <v>2.3809523809523809</v>
      </c>
      <c r="C20" s="271">
        <f t="shared" si="0"/>
        <v>0.75181913957713697</v>
      </c>
      <c r="D20" s="249">
        <f t="shared" si="1"/>
        <v>0.12099767983001669</v>
      </c>
      <c r="E20" s="272">
        <f t="shared" si="2"/>
        <v>41914.412083536605</v>
      </c>
      <c r="F20" s="273">
        <f t="shared" si="13"/>
        <v>3.0618472934812388E-2</v>
      </c>
      <c r="G20" s="249">
        <f t="shared" si="3"/>
        <v>4.7229839629439677E-2</v>
      </c>
      <c r="H20" s="154">
        <f t="shared" si="4"/>
        <v>0.16822751945945635</v>
      </c>
      <c r="I20" s="271">
        <f t="shared" si="5"/>
        <v>0.52209662470634532</v>
      </c>
      <c r="J20" s="249">
        <f t="shared" si="6"/>
        <v>6.6687433768748222E-2</v>
      </c>
      <c r="K20" s="272">
        <f t="shared" si="7"/>
        <v>34928.676736280519</v>
      </c>
      <c r="L20" s="273">
        <f t="shared" si="14"/>
        <v>2.3708747230989764E-2</v>
      </c>
      <c r="M20" s="249">
        <f t="shared" si="8"/>
        <v>0.21613565052310574</v>
      </c>
      <c r="N20" s="154">
        <f t="shared" si="9"/>
        <v>0.28282308429185399</v>
      </c>
      <c r="O20" s="8"/>
      <c r="P20" s="250">
        <f t="shared" si="10"/>
        <v>5.3010506037513121</v>
      </c>
      <c r="Q20" s="154">
        <f t="shared" si="11"/>
        <v>4.1010506037513093</v>
      </c>
      <c r="R20" s="25"/>
      <c r="S20" s="8"/>
      <c r="T20" s="24"/>
      <c r="U20" s="18">
        <f>VLOOKUP($U$13,'Base de datos'!$C$4:$S$113,6,FALSE)</f>
        <v>18</v>
      </c>
      <c r="V20" s="38">
        <f t="shared" si="12"/>
        <v>5</v>
      </c>
      <c r="W20" s="194">
        <f>VLOOKUP($U$13,'Base de datos'!$C$4:$S$113,13,FALSE)</f>
        <v>8.5</v>
      </c>
      <c r="X20" s="28"/>
      <c r="Y20" s="8"/>
      <c r="Z20" s="8"/>
    </row>
    <row r="21" spans="1:28">
      <c r="A21" s="24"/>
      <c r="B21" s="261">
        <f>(Q/3.6)/7*4</f>
        <v>3.1746031746031744</v>
      </c>
      <c r="C21" s="271">
        <f t="shared" si="0"/>
        <v>1.0024255194361829</v>
      </c>
      <c r="D21" s="249">
        <f t="shared" si="1"/>
        <v>0.21510698636447423</v>
      </c>
      <c r="E21" s="272">
        <f t="shared" si="2"/>
        <v>55885.882778048828</v>
      </c>
      <c r="F21" s="273">
        <f t="shared" si="13"/>
        <v>3.0056806061801201E-2</v>
      </c>
      <c r="G21" s="249">
        <f t="shared" si="3"/>
        <v>8.2423916399567851E-2</v>
      </c>
      <c r="H21" s="154">
        <f t="shared" si="4"/>
        <v>0.29753090276404209</v>
      </c>
      <c r="I21" s="271">
        <f t="shared" si="5"/>
        <v>0.69612883294179373</v>
      </c>
      <c r="J21" s="249">
        <f t="shared" si="6"/>
        <v>0.11855543781110794</v>
      </c>
      <c r="K21" s="272">
        <f t="shared" si="7"/>
        <v>46571.568981707351</v>
      </c>
      <c r="L21" s="273">
        <f t="shared" si="14"/>
        <v>2.2448178402988853E-2</v>
      </c>
      <c r="M21" s="249">
        <f t="shared" si="8"/>
        <v>0.36381146361387273</v>
      </c>
      <c r="N21" s="154">
        <f t="shared" si="9"/>
        <v>0.48236690142498068</v>
      </c>
      <c r="O21" s="8"/>
      <c r="P21" s="250">
        <f t="shared" si="10"/>
        <v>5.6298978041890244</v>
      </c>
      <c r="Q21" s="154">
        <f t="shared" si="11"/>
        <v>4.4298978041890216</v>
      </c>
      <c r="R21" s="25"/>
      <c r="S21" s="8"/>
      <c r="T21" s="24"/>
      <c r="U21" s="18">
        <f>VLOOKUP($U$13,'Base de datos'!$C$4:$S$113,7,FALSE)</f>
        <v>24</v>
      </c>
      <c r="V21" s="38">
        <f t="shared" si="12"/>
        <v>6.6666666666666661</v>
      </c>
      <c r="W21" s="194">
        <f>VLOOKUP($U$13,'Base de datos'!$C$4:$S$113,14,FALSE)</f>
        <v>6.4</v>
      </c>
      <c r="X21" s="28"/>
      <c r="Y21" s="8"/>
      <c r="Z21" s="8"/>
    </row>
    <row r="22" spans="1:28" ht="15.75" thickBot="1">
      <c r="A22" s="24"/>
      <c r="B22" s="261">
        <f>(Q/3.6)/7*5</f>
        <v>3.9682539682539679</v>
      </c>
      <c r="C22" s="271">
        <f t="shared" si="0"/>
        <v>1.2530318992952285</v>
      </c>
      <c r="D22" s="249">
        <f t="shared" si="1"/>
        <v>0.33610466619449092</v>
      </c>
      <c r="E22" s="272">
        <f t="shared" si="2"/>
        <v>69857.353472561022</v>
      </c>
      <c r="F22" s="273">
        <f t="shared" si="13"/>
        <v>2.9705643365792643E-2</v>
      </c>
      <c r="G22" s="249">
        <f t="shared" si="3"/>
        <v>0.12728270784281179</v>
      </c>
      <c r="H22" s="154">
        <f t="shared" si="4"/>
        <v>0.46338737403730268</v>
      </c>
      <c r="I22" s="271">
        <f t="shared" si="5"/>
        <v>0.87016104117724213</v>
      </c>
      <c r="J22" s="249">
        <f t="shared" si="6"/>
        <v>0.18524287157985614</v>
      </c>
      <c r="K22" s="272">
        <f t="shared" si="7"/>
        <v>58214.461227134183</v>
      </c>
      <c r="L22" s="273">
        <f t="shared" si="14"/>
        <v>2.1577416046702873E-2</v>
      </c>
      <c r="M22" s="249">
        <f t="shared" si="8"/>
        <v>0.5464050893706951</v>
      </c>
      <c r="N22" s="154">
        <f t="shared" si="9"/>
        <v>0.73164796095055129</v>
      </c>
      <c r="O22" s="8"/>
      <c r="P22" s="250">
        <f t="shared" si="10"/>
        <v>6.0450353349878547</v>
      </c>
      <c r="Q22" s="154">
        <f t="shared" si="11"/>
        <v>4.8450353349878519</v>
      </c>
      <c r="R22" s="25"/>
      <c r="S22" s="8"/>
      <c r="T22" s="24"/>
      <c r="U22" s="19">
        <f>VLOOKUP($U$13,'Base de datos'!$C$4:$S$113,8,FALSE)</f>
        <v>36</v>
      </c>
      <c r="V22" s="10">
        <f t="shared" si="12"/>
        <v>10</v>
      </c>
      <c r="W22" s="294">
        <f>VLOOKUP($U$13,'Base de datos'!$C$4:$S$113,15,FALSE)</f>
        <v>3</v>
      </c>
      <c r="X22" s="28"/>
      <c r="Y22" s="8"/>
      <c r="Z22" s="8"/>
      <c r="AA22" s="8"/>
      <c r="AB22" s="8"/>
    </row>
    <row r="23" spans="1:28" ht="15.75" thickBot="1">
      <c r="A23" s="24"/>
      <c r="B23" s="261">
        <f>(Q/3.6)/7*6</f>
        <v>4.7619047619047619</v>
      </c>
      <c r="C23" s="271">
        <f t="shared" si="0"/>
        <v>1.5036382791542739</v>
      </c>
      <c r="D23" s="249">
        <f t="shared" si="1"/>
        <v>0.48399071932006676</v>
      </c>
      <c r="E23" s="272">
        <f t="shared" si="2"/>
        <v>83828.82416707321</v>
      </c>
      <c r="F23" s="273">
        <f t="shared" si="13"/>
        <v>2.9465034472100683E-2</v>
      </c>
      <c r="G23" s="249">
        <f t="shared" si="3"/>
        <v>0.18180251585453591</v>
      </c>
      <c r="H23" s="154">
        <f t="shared" si="4"/>
        <v>0.66579323517460265</v>
      </c>
      <c r="I23" s="271">
        <f t="shared" si="5"/>
        <v>1.0441932494126906</v>
      </c>
      <c r="J23" s="249">
        <f t="shared" si="6"/>
        <v>0.26674973507499289</v>
      </c>
      <c r="K23" s="272">
        <f t="shared" si="7"/>
        <v>69857.353472561037</v>
      </c>
      <c r="L23" s="273">
        <f t="shared" si="14"/>
        <v>2.0930829340931972E-2</v>
      </c>
      <c r="M23" s="249">
        <f t="shared" si="8"/>
        <v>0.76324545898861185</v>
      </c>
      <c r="N23" s="154">
        <f t="shared" si="9"/>
        <v>1.0299951940636047</v>
      </c>
      <c r="O23" s="8"/>
      <c r="P23" s="250">
        <f t="shared" si="10"/>
        <v>6.5457884292382085</v>
      </c>
      <c r="Q23" s="154">
        <f t="shared" si="11"/>
        <v>5.3457884292382056</v>
      </c>
      <c r="R23" s="25"/>
      <c r="S23" s="8"/>
      <c r="T23" s="30"/>
      <c r="U23" s="13"/>
      <c r="V23" s="254"/>
      <c r="W23" s="254"/>
      <c r="X23" s="31"/>
      <c r="Y23" s="601"/>
      <c r="Z23" s="601"/>
      <c r="AA23" s="8"/>
      <c r="AB23" s="8"/>
    </row>
    <row r="24" spans="1:28">
      <c r="A24" s="24"/>
      <c r="B24" s="261">
        <f>(Q/3.6)/7*7</f>
        <v>5.5555555555555554</v>
      </c>
      <c r="C24" s="271">
        <f t="shared" si="0"/>
        <v>1.7542446590133198</v>
      </c>
      <c r="D24" s="249">
        <f t="shared" si="1"/>
        <v>0.65876514574120215</v>
      </c>
      <c r="E24" s="272">
        <f t="shared" si="2"/>
        <v>97800.294861585426</v>
      </c>
      <c r="F24" s="273">
        <f t="shared" si="13"/>
        <v>2.9289770773005701E-2</v>
      </c>
      <c r="G24" s="249">
        <f t="shared" si="3"/>
        <v>0.24598152373760285</v>
      </c>
      <c r="H24" s="154">
        <f t="shared" si="4"/>
        <v>0.904746669478805</v>
      </c>
      <c r="I24" s="271">
        <f t="shared" si="5"/>
        <v>1.2182254576481393</v>
      </c>
      <c r="J24" s="249">
        <f t="shared" si="6"/>
        <v>0.36307602829651825</v>
      </c>
      <c r="K24" s="272">
        <f t="shared" si="7"/>
        <v>81500.245717987884</v>
      </c>
      <c r="L24" s="273">
        <f t="shared" si="14"/>
        <v>2.042732439733054E-2</v>
      </c>
      <c r="M24" s="249">
        <f t="shared" si="8"/>
        <v>1.0138713652268347</v>
      </c>
      <c r="N24" s="154">
        <f t="shared" si="9"/>
        <v>1.3769473935233529</v>
      </c>
      <c r="O24" s="8"/>
      <c r="P24" s="250">
        <f t="shared" si="10"/>
        <v>7.1316940630021595</v>
      </c>
      <c r="Q24" s="154">
        <f t="shared" si="11"/>
        <v>5.9316940630021566</v>
      </c>
      <c r="R24" s="25"/>
      <c r="S24" s="8"/>
      <c r="T24" s="8"/>
      <c r="U24" s="8"/>
      <c r="V24" s="1"/>
      <c r="W24" s="1"/>
      <c r="X24" s="12"/>
      <c r="Y24" s="8"/>
      <c r="Z24" s="8"/>
      <c r="AA24" s="8"/>
      <c r="AB24" s="8"/>
    </row>
    <row r="25" spans="1:28">
      <c r="A25" s="24"/>
      <c r="B25" s="261">
        <f>(Q/3.6)/7*8</f>
        <v>6.3492063492063489</v>
      </c>
      <c r="C25" s="271">
        <f t="shared" si="0"/>
        <v>2.0048510388723657</v>
      </c>
      <c r="D25" s="249">
        <f t="shared" si="1"/>
        <v>0.86042794545789691</v>
      </c>
      <c r="E25" s="272">
        <f t="shared" si="2"/>
        <v>111771.76555609766</v>
      </c>
      <c r="F25" s="273">
        <f t="shared" si="13"/>
        <v>2.9156372506119469E-2</v>
      </c>
      <c r="G25" s="249">
        <f t="shared" si="3"/>
        <v>0.3198187332370252</v>
      </c>
      <c r="H25" s="154">
        <f t="shared" si="4"/>
        <v>1.1802466786949222</v>
      </c>
      <c r="I25" s="271">
        <f t="shared" si="5"/>
        <v>1.3922576658835875</v>
      </c>
      <c r="J25" s="249">
        <f t="shared" si="6"/>
        <v>0.47422175124443178</v>
      </c>
      <c r="K25" s="272">
        <f t="shared" si="7"/>
        <v>93143.137963414702</v>
      </c>
      <c r="L25" s="273">
        <f t="shared" si="14"/>
        <v>2.0021766084656962E-2</v>
      </c>
      <c r="M25" s="249">
        <f t="shared" si="8"/>
        <v>1.297949061635006</v>
      </c>
      <c r="N25" s="154">
        <f t="shared" si="9"/>
        <v>1.7721708128794378</v>
      </c>
      <c r="O25" s="12"/>
      <c r="P25" s="250">
        <f t="shared" si="10"/>
        <v>7.8024174915743609</v>
      </c>
      <c r="Q25" s="154">
        <f t="shared" si="11"/>
        <v>6.6024174915743581</v>
      </c>
      <c r="R25" s="28"/>
      <c r="U25" s="12"/>
      <c r="V25" s="12"/>
      <c r="W25" s="12"/>
      <c r="X25" s="12"/>
      <c r="Y25" s="8"/>
      <c r="Z25" s="8"/>
      <c r="AA25" s="8"/>
      <c r="AB25" s="8"/>
    </row>
    <row r="26" spans="1:28">
      <c r="A26" s="24"/>
      <c r="B26" s="261">
        <f>(Q/3.6)/7*9</f>
        <v>7.1428571428571423</v>
      </c>
      <c r="C26" s="271">
        <f t="shared" si="0"/>
        <v>2.2554574187314111</v>
      </c>
      <c r="D26" s="249">
        <f t="shared" si="1"/>
        <v>1.0889791184701505</v>
      </c>
      <c r="E26" s="272">
        <f t="shared" si="2"/>
        <v>125743.23625060986</v>
      </c>
      <c r="F26" s="273">
        <f t="shared" si="13"/>
        <v>2.9051419626488596E-2</v>
      </c>
      <c r="G26" s="249">
        <f t="shared" si="3"/>
        <v>0.4033135498295608</v>
      </c>
      <c r="H26" s="154">
        <f t="shared" si="4"/>
        <v>1.4922926682997113</v>
      </c>
      <c r="I26" s="271">
        <f t="shared" si="5"/>
        <v>1.5662898741190359</v>
      </c>
      <c r="J26" s="249">
        <f t="shared" si="6"/>
        <v>0.60018690391873397</v>
      </c>
      <c r="K26" s="272">
        <f t="shared" si="7"/>
        <v>104786.03020884153</v>
      </c>
      <c r="L26" s="273">
        <f t="shared" si="14"/>
        <v>1.9686726858496765E-2</v>
      </c>
      <c r="M26" s="249">
        <f t="shared" si="8"/>
        <v>1.6152279693644687</v>
      </c>
      <c r="N26" s="154">
        <f t="shared" si="9"/>
        <v>2.2154148732832026</v>
      </c>
      <c r="O26" s="12"/>
      <c r="P26" s="250">
        <f t="shared" si="10"/>
        <v>8.557707541582916</v>
      </c>
      <c r="Q26" s="154">
        <f t="shared" si="11"/>
        <v>7.3577075415829132</v>
      </c>
      <c r="R26" s="28"/>
      <c r="U26" s="12"/>
      <c r="V26" s="12"/>
      <c r="W26" s="12"/>
      <c r="X26" s="12"/>
      <c r="Y26" s="8"/>
      <c r="Z26" s="8"/>
    </row>
    <row r="27" spans="1:28" ht="15.75" thickBot="1">
      <c r="A27" s="24"/>
      <c r="B27" s="274">
        <f>(Q/3.6)/7*10</f>
        <v>7.9365079365079358</v>
      </c>
      <c r="C27" s="275">
        <f t="shared" si="0"/>
        <v>2.506063798590457</v>
      </c>
      <c r="D27" s="276">
        <f t="shared" si="1"/>
        <v>1.3444186647779637</v>
      </c>
      <c r="E27" s="277">
        <f t="shared" si="2"/>
        <v>139714.70694512204</v>
      </c>
      <c r="F27" s="278">
        <f t="shared" si="13"/>
        <v>2.896668020236776E-2</v>
      </c>
      <c r="G27" s="276">
        <f t="shared" si="3"/>
        <v>0.49646559718949973</v>
      </c>
      <c r="H27" s="252">
        <f t="shared" si="4"/>
        <v>1.8408842619674635</v>
      </c>
      <c r="I27" s="275">
        <f t="shared" si="5"/>
        <v>1.7403220823544843</v>
      </c>
      <c r="J27" s="276">
        <f t="shared" si="6"/>
        <v>0.74097148631942455</v>
      </c>
      <c r="K27" s="277">
        <f t="shared" si="7"/>
        <v>116428.92245426837</v>
      </c>
      <c r="L27" s="278">
        <f t="shared" si="14"/>
        <v>1.9404434374704571E-2</v>
      </c>
      <c r="M27" s="276">
        <f t="shared" si="8"/>
        <v>1.9655146243182116</v>
      </c>
      <c r="N27" s="252">
        <f t="shared" si="9"/>
        <v>2.7064861106376359</v>
      </c>
      <c r="O27" s="12"/>
      <c r="P27" s="251">
        <f t="shared" si="10"/>
        <v>9.397370372605101</v>
      </c>
      <c r="Q27" s="252">
        <f t="shared" si="11"/>
        <v>8.1973703726050982</v>
      </c>
      <c r="R27" s="28"/>
      <c r="Y27" s="7"/>
    </row>
    <row r="28" spans="1:28">
      <c r="A28" s="24"/>
      <c r="B28" s="1"/>
      <c r="C28" s="2"/>
      <c r="D28" s="3"/>
      <c r="E28" s="4"/>
      <c r="F28" s="5"/>
      <c r="G28" s="3"/>
      <c r="H28" s="2"/>
      <c r="I28" s="3"/>
      <c r="J28" s="4"/>
      <c r="K28" s="5"/>
      <c r="L28" s="6"/>
      <c r="M28" s="6"/>
      <c r="N28" s="1"/>
      <c r="O28" s="3"/>
      <c r="P28" s="21"/>
      <c r="Q28" s="21"/>
      <c r="R28" s="29"/>
      <c r="S28" s="21"/>
      <c r="T28" s="21"/>
      <c r="U28" s="7"/>
      <c r="V28" s="7"/>
      <c r="W28" s="7"/>
    </row>
    <row r="29" spans="1:28" ht="15.75" thickBot="1">
      <c r="A29" s="30"/>
      <c r="B29" s="254"/>
      <c r="C29" s="13"/>
      <c r="D29" s="13"/>
      <c r="E29" s="13"/>
      <c r="F29" s="13"/>
      <c r="G29" s="13"/>
      <c r="H29" s="13"/>
      <c r="I29" s="255"/>
      <c r="J29" s="256"/>
      <c r="K29" s="257"/>
      <c r="L29" s="258"/>
      <c r="M29" s="258"/>
      <c r="N29" s="254"/>
      <c r="O29" s="255"/>
      <c r="P29" s="259"/>
      <c r="Q29" s="259"/>
      <c r="R29" s="260"/>
      <c r="S29" s="21"/>
      <c r="T29" s="21"/>
      <c r="U29" s="7"/>
      <c r="V29" s="7"/>
      <c r="W29" s="7"/>
    </row>
    <row r="42" spans="2:11">
      <c r="B42" s="8"/>
      <c r="F42" s="8"/>
    </row>
    <row r="43" spans="2:11">
      <c r="B43" s="8"/>
      <c r="F43" s="8"/>
    </row>
    <row r="44" spans="2:11">
      <c r="B44" s="8"/>
      <c r="F44" s="8"/>
    </row>
    <row r="46" spans="2:11">
      <c r="K46" s="8"/>
    </row>
    <row r="47" spans="2:11">
      <c r="B47" s="12">
        <v>1000000</v>
      </c>
      <c r="K47" s="8"/>
    </row>
    <row r="48" spans="2:11">
      <c r="K48" s="8"/>
    </row>
    <row r="49" spans="7:11">
      <c r="K49" s="8"/>
    </row>
    <row r="50" spans="7:11">
      <c r="K50" s="8"/>
    </row>
    <row r="51" spans="7:11">
      <c r="K51" s="8"/>
    </row>
    <row r="52" spans="7:11">
      <c r="K52" s="8"/>
    </row>
    <row r="53" spans="7:11">
      <c r="K53" s="8"/>
    </row>
    <row r="54" spans="7:11">
      <c r="K54" s="8"/>
    </row>
    <row r="55" spans="7:11">
      <c r="K55" s="8"/>
    </row>
    <row r="56" spans="7:11">
      <c r="K56" s="8"/>
    </row>
    <row r="57" spans="7:11">
      <c r="K57" s="8"/>
    </row>
    <row r="58" spans="7:11">
      <c r="G58" s="600"/>
      <c r="H58" s="600"/>
      <c r="I58" s="8"/>
      <c r="J58" s="8"/>
      <c r="K58" s="8"/>
    </row>
  </sheetData>
  <mergeCells count="23">
    <mergeCell ref="U13:W13"/>
    <mergeCell ref="T12:X12"/>
    <mergeCell ref="A1:L1"/>
    <mergeCell ref="B12:M12"/>
    <mergeCell ref="N12:O12"/>
    <mergeCell ref="C5:E5"/>
    <mergeCell ref="C6:E6"/>
    <mergeCell ref="C7:E7"/>
    <mergeCell ref="C8:E8"/>
    <mergeCell ref="C9:E9"/>
    <mergeCell ref="C4:E4"/>
    <mergeCell ref="J5:L5"/>
    <mergeCell ref="J6:L6"/>
    <mergeCell ref="J7:L7"/>
    <mergeCell ref="B14:B15"/>
    <mergeCell ref="G58:H58"/>
    <mergeCell ref="Y23:Z23"/>
    <mergeCell ref="C14:H14"/>
    <mergeCell ref="I14:N14"/>
    <mergeCell ref="Y14:Z14"/>
    <mergeCell ref="Y15:Z15"/>
    <mergeCell ref="U14:V14"/>
    <mergeCell ref="P14:Q14"/>
  </mergeCells>
  <pageMargins left="0.7" right="0.7" top="0.75" bottom="0.75" header="0.3" footer="0.3"/>
  <pageSetup scale="6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7"/>
  <dimension ref="A1:H17"/>
  <sheetViews>
    <sheetView zoomScaleNormal="100" zoomScaleSheetLayoutView="100" workbookViewId="0">
      <selection activeCell="F20" sqref="F20"/>
    </sheetView>
  </sheetViews>
  <sheetFormatPr baseColWidth="10" defaultRowHeight="15"/>
  <cols>
    <col min="1" max="1" width="13.85546875" customWidth="1"/>
    <col min="2" max="5" width="11.5703125" bestFit="1" customWidth="1"/>
    <col min="6" max="6" width="14" bestFit="1" customWidth="1"/>
    <col min="7" max="8" width="11.5703125" bestFit="1" customWidth="1"/>
    <col min="10" max="10" width="12" bestFit="1" customWidth="1"/>
  </cols>
  <sheetData>
    <row r="1" spans="1:8" ht="15" customHeight="1" thickBot="1">
      <c r="A1" s="626" t="s">
        <v>7</v>
      </c>
      <c r="B1" s="627"/>
      <c r="C1" s="627"/>
      <c r="D1" s="627"/>
      <c r="E1" s="627"/>
      <c r="F1" s="627"/>
      <c r="G1" s="627"/>
      <c r="H1" s="628"/>
    </row>
    <row r="2" spans="1:8" ht="48" thickBot="1">
      <c r="A2" s="215" t="s">
        <v>8</v>
      </c>
      <c r="B2" s="216" t="s">
        <v>9</v>
      </c>
      <c r="C2" s="216" t="s">
        <v>10</v>
      </c>
      <c r="D2" s="216" t="s">
        <v>11</v>
      </c>
      <c r="E2" s="216" t="s">
        <v>15</v>
      </c>
      <c r="F2" s="216" t="s">
        <v>12</v>
      </c>
      <c r="G2" s="216" t="s">
        <v>13</v>
      </c>
      <c r="H2" s="217" t="s">
        <v>14</v>
      </c>
    </row>
    <row r="3" spans="1:8">
      <c r="A3" s="199">
        <v>0</v>
      </c>
      <c r="B3" s="200">
        <v>9.8049999999999997</v>
      </c>
      <c r="C3" s="201">
        <v>999.9</v>
      </c>
      <c r="D3" s="202">
        <f>1.98 * 10^6</f>
        <v>1980000</v>
      </c>
      <c r="E3" s="203">
        <f>1.781 * 10^-3</f>
        <v>1.781E-3</v>
      </c>
      <c r="F3" s="203">
        <f>1.785 * 10^-6</f>
        <v>1.7849999999999999E-6</v>
      </c>
      <c r="G3" s="204">
        <v>7.6499999999999999E-2</v>
      </c>
      <c r="H3" s="205">
        <v>0.61</v>
      </c>
    </row>
    <row r="4" spans="1:8">
      <c r="A4" s="206">
        <v>5</v>
      </c>
      <c r="B4" s="196">
        <v>9.8070000000000004</v>
      </c>
      <c r="C4" s="132">
        <v>1000</v>
      </c>
      <c r="D4" s="129">
        <f>2.05 * 10^6</f>
        <v>2049999.9999999998</v>
      </c>
      <c r="E4" s="130">
        <f>1.518 * 10^-3</f>
        <v>1.518E-3</v>
      </c>
      <c r="F4" s="130">
        <f>1.519 * 10^-6</f>
        <v>1.5189999999999998E-6</v>
      </c>
      <c r="G4" s="131">
        <v>7.4899999999999994E-2</v>
      </c>
      <c r="H4" s="207">
        <v>0.87</v>
      </c>
    </row>
    <row r="5" spans="1:8">
      <c r="A5" s="206">
        <v>10</v>
      </c>
      <c r="B5" s="196">
        <v>9.8040000000000003</v>
      </c>
      <c r="C5" s="132">
        <v>999.7</v>
      </c>
      <c r="D5" s="129">
        <f>2.1 * 10^6</f>
        <v>2100000</v>
      </c>
      <c r="E5" s="130">
        <f>1.307 * 10^-3</f>
        <v>1.307E-3</v>
      </c>
      <c r="F5" s="130">
        <f>1.306 * 10^-6</f>
        <v>1.3060000000000001E-6</v>
      </c>
      <c r="G5" s="131">
        <v>7.4200000000000002E-2</v>
      </c>
      <c r="H5" s="207">
        <v>1.23</v>
      </c>
    </row>
    <row r="6" spans="1:8">
      <c r="A6" s="206">
        <v>15</v>
      </c>
      <c r="B6" s="196">
        <v>9.798</v>
      </c>
      <c r="C6" s="132">
        <v>999.1</v>
      </c>
      <c r="D6" s="129">
        <f>2.15 * 10^6</f>
        <v>2150000</v>
      </c>
      <c r="E6" s="130">
        <f>1.139 * 10^-3</f>
        <v>1.139E-3</v>
      </c>
      <c r="F6" s="130">
        <f>1.139 * 10^-6</f>
        <v>1.139E-6</v>
      </c>
      <c r="G6" s="131">
        <v>7.3499999999999996E-2</v>
      </c>
      <c r="H6" s="207">
        <v>1.7</v>
      </c>
    </row>
    <row r="7" spans="1:8">
      <c r="A7" s="206">
        <v>20</v>
      </c>
      <c r="B7" s="196">
        <v>9.7889999999999997</v>
      </c>
      <c r="C7" s="132">
        <v>998.2</v>
      </c>
      <c r="D7" s="129">
        <f>2.17 * 10^6</f>
        <v>2170000</v>
      </c>
      <c r="E7" s="130">
        <f>1.002 * 10^-3</f>
        <v>1.0020000000000001E-3</v>
      </c>
      <c r="F7" s="130">
        <f>1.003 * 10^-6</f>
        <v>1.0029999999999998E-6</v>
      </c>
      <c r="G7" s="131">
        <v>7.2800000000000004E-2</v>
      </c>
      <c r="H7" s="207">
        <v>2.34</v>
      </c>
    </row>
    <row r="8" spans="1:8">
      <c r="A8" s="206">
        <v>25</v>
      </c>
      <c r="B8" s="196">
        <v>9.7769999999999992</v>
      </c>
      <c r="C8" s="132">
        <v>997</v>
      </c>
      <c r="D8" s="129">
        <f>2.22 * 10^6</f>
        <v>2220000</v>
      </c>
      <c r="E8" s="130">
        <f>0.89 * 10^-3</f>
        <v>8.9000000000000006E-4</v>
      </c>
      <c r="F8" s="130">
        <f>0.893 * 10^-6</f>
        <v>8.9299999999999996E-7</v>
      </c>
      <c r="G8" s="131">
        <v>7.1999999999999995E-2</v>
      </c>
      <c r="H8" s="207">
        <v>3.17</v>
      </c>
    </row>
    <row r="9" spans="1:8">
      <c r="A9" s="206">
        <v>30</v>
      </c>
      <c r="B9" s="196">
        <v>9.7639999999999993</v>
      </c>
      <c r="C9" s="132">
        <v>995.7</v>
      </c>
      <c r="D9" s="129">
        <f>2.25 * 10^6</f>
        <v>2250000</v>
      </c>
      <c r="E9" s="130">
        <f>0.798 * 10^-3</f>
        <v>7.980000000000001E-4</v>
      </c>
      <c r="F9" s="130">
        <f>0.8 * 10^-6</f>
        <v>7.9999999999999996E-7</v>
      </c>
      <c r="G9" s="131">
        <v>7.1199999999999999E-2</v>
      </c>
      <c r="H9" s="207">
        <v>4.24</v>
      </c>
    </row>
    <row r="10" spans="1:8">
      <c r="A10" s="206">
        <v>40</v>
      </c>
      <c r="B10" s="196">
        <v>9.73</v>
      </c>
      <c r="C10" s="132">
        <v>992.2</v>
      </c>
      <c r="D10" s="129">
        <f>2.28 * 10^6</f>
        <v>2280000</v>
      </c>
      <c r="E10" s="130">
        <f>0.653 * 10^-3</f>
        <v>6.5300000000000004E-4</v>
      </c>
      <c r="F10" s="130">
        <f>0.658 * 10^-6</f>
        <v>6.5799999999999999E-7</v>
      </c>
      <c r="G10" s="131">
        <v>6.9599999999999995E-2</v>
      </c>
      <c r="H10" s="207">
        <v>7.38</v>
      </c>
    </row>
    <row r="11" spans="1:8">
      <c r="A11" s="206">
        <v>50</v>
      </c>
      <c r="B11" s="196">
        <v>9.6890000000000001</v>
      </c>
      <c r="C11" s="132">
        <v>988</v>
      </c>
      <c r="D11" s="129">
        <f>2.29 * 10^6</f>
        <v>2290000</v>
      </c>
      <c r="E11" s="130">
        <f>0.547 * 10^-3</f>
        <v>5.4700000000000007E-4</v>
      </c>
      <c r="F11" s="130">
        <f>0.553 * 10^-6</f>
        <v>5.5300000000000004E-7</v>
      </c>
      <c r="G11" s="131">
        <v>6.7900000000000002E-2</v>
      </c>
      <c r="H11" s="207">
        <v>12.33</v>
      </c>
    </row>
    <row r="12" spans="1:8">
      <c r="A12" s="206">
        <v>60</v>
      </c>
      <c r="B12" s="196">
        <v>9.6419999999999995</v>
      </c>
      <c r="C12" s="132">
        <v>983.2</v>
      </c>
      <c r="D12" s="129">
        <f>2.28 * 10^6</f>
        <v>2280000</v>
      </c>
      <c r="E12" s="130">
        <f>0.466 * 10^-3</f>
        <v>4.6600000000000005E-4</v>
      </c>
      <c r="F12" s="130">
        <f>0.474 * 10^-6</f>
        <v>4.7399999999999993E-7</v>
      </c>
      <c r="G12" s="131">
        <v>6.6199999999999995E-2</v>
      </c>
      <c r="H12" s="207">
        <v>19.920000000000002</v>
      </c>
    </row>
    <row r="13" spans="1:8">
      <c r="A13" s="206">
        <v>70</v>
      </c>
      <c r="B13" s="196">
        <v>9.5890000000000004</v>
      </c>
      <c r="C13" s="132">
        <v>977.8</v>
      </c>
      <c r="D13" s="129">
        <f>2.25 * 10^6</f>
        <v>2250000</v>
      </c>
      <c r="E13" s="130">
        <f>0.404 * 10^-3</f>
        <v>4.0400000000000001E-4</v>
      </c>
      <c r="F13" s="130">
        <f>0.413 * 10^-6</f>
        <v>4.1299999999999995E-7</v>
      </c>
      <c r="G13" s="131">
        <v>6.4399999999999999E-2</v>
      </c>
      <c r="H13" s="207">
        <v>31.16</v>
      </c>
    </row>
    <row r="14" spans="1:8">
      <c r="A14" s="206">
        <v>80</v>
      </c>
      <c r="B14" s="196">
        <v>9.5299999999999994</v>
      </c>
      <c r="C14" s="132">
        <v>971.8</v>
      </c>
      <c r="D14" s="129">
        <f>2.2 * 10^6</f>
        <v>2200000</v>
      </c>
      <c r="E14" s="130">
        <f>0.354 * 10^-3</f>
        <v>3.5399999999999999E-4</v>
      </c>
      <c r="F14" s="130">
        <f>0.364 * 10^-6</f>
        <v>3.6399999999999998E-7</v>
      </c>
      <c r="G14" s="131">
        <v>6.2600000000000003E-2</v>
      </c>
      <c r="H14" s="207">
        <v>47.34</v>
      </c>
    </row>
    <row r="15" spans="1:8">
      <c r="A15" s="206">
        <v>90</v>
      </c>
      <c r="B15" s="196">
        <v>9.4659999999999993</v>
      </c>
      <c r="C15" s="132">
        <v>965.3</v>
      </c>
      <c r="D15" s="129">
        <f>2.14 * 10^6</f>
        <v>2140000</v>
      </c>
      <c r="E15" s="130">
        <f>0.315 * 10^-3</f>
        <v>3.1500000000000001E-4</v>
      </c>
      <c r="F15" s="130">
        <f>0.326 * 10^-6</f>
        <v>3.2599999999999998E-7</v>
      </c>
      <c r="G15" s="131">
        <v>6.08E-2</v>
      </c>
      <c r="H15" s="207">
        <v>70.099999999999994</v>
      </c>
    </row>
    <row r="16" spans="1:8" ht="15.75" thickBot="1">
      <c r="A16" s="208">
        <v>100</v>
      </c>
      <c r="B16" s="209">
        <v>9.3989999999999991</v>
      </c>
      <c r="C16" s="210">
        <v>958.4</v>
      </c>
      <c r="D16" s="211">
        <f>2.07 * 10^6</f>
        <v>2069999.9999999998</v>
      </c>
      <c r="E16" s="212">
        <f>0.282 * 10^-3</f>
        <v>2.8199999999999997E-4</v>
      </c>
      <c r="F16" s="212">
        <f>0.294 * 10^-6</f>
        <v>2.9399999999999996E-7</v>
      </c>
      <c r="G16" s="213">
        <v>5.8900000000000001E-2</v>
      </c>
      <c r="H16" s="214">
        <v>101.33</v>
      </c>
    </row>
    <row r="17" spans="1:1">
      <c r="A17" s="167" t="s">
        <v>429</v>
      </c>
    </row>
  </sheetData>
  <mergeCells count="1">
    <mergeCell ref="A1:H1"/>
  </mergeCells>
  <pageMargins left="1.1023622047244095" right="0.70866141732283472" top="0.74803149606299213" bottom="0.74803149606299213" header="0.31496062992125984" footer="0.31496062992125984"/>
  <pageSetup scale="7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8"/>
  <dimension ref="A1:C18"/>
  <sheetViews>
    <sheetView zoomScaleNormal="100" zoomScaleSheetLayoutView="115" workbookViewId="0">
      <selection activeCell="H16" sqref="H16"/>
    </sheetView>
  </sheetViews>
  <sheetFormatPr baseColWidth="10" defaultRowHeight="15"/>
  <cols>
    <col min="1" max="1" width="21.85546875" bestFit="1" customWidth="1"/>
    <col min="2" max="2" width="9.28515625" bestFit="1" customWidth="1"/>
    <col min="3" max="3" width="7.28515625" bestFit="1" customWidth="1"/>
  </cols>
  <sheetData>
    <row r="1" spans="1:3" ht="15.75" thickBot="1">
      <c r="A1" s="629" t="s">
        <v>20</v>
      </c>
      <c r="B1" s="630"/>
      <c r="C1" s="631"/>
    </row>
    <row r="2" spans="1:3" ht="15.75" thickBot="1">
      <c r="A2" s="226" t="s">
        <v>21</v>
      </c>
      <c r="B2" s="227" t="s">
        <v>25</v>
      </c>
      <c r="C2" s="228" t="s">
        <v>22</v>
      </c>
    </row>
    <row r="3" spans="1:3">
      <c r="A3" s="223" t="s">
        <v>23</v>
      </c>
      <c r="B3" s="224" t="s">
        <v>26</v>
      </c>
      <c r="C3" s="225">
        <v>1.5E-3</v>
      </c>
    </row>
    <row r="4" spans="1:3" ht="30">
      <c r="A4" s="218" t="s">
        <v>24</v>
      </c>
      <c r="B4" s="159" t="s">
        <v>296</v>
      </c>
      <c r="C4" s="219">
        <v>0.03</v>
      </c>
    </row>
    <row r="5" spans="1:3">
      <c r="A5" s="218" t="s">
        <v>299</v>
      </c>
      <c r="B5" s="159" t="s">
        <v>27</v>
      </c>
      <c r="C5" s="219">
        <v>0.45</v>
      </c>
    </row>
    <row r="6" spans="1:3">
      <c r="A6" s="218" t="s">
        <v>300</v>
      </c>
      <c r="B6" s="159" t="s">
        <v>295</v>
      </c>
      <c r="C6" s="219">
        <v>0.25</v>
      </c>
    </row>
    <row r="7" spans="1:3">
      <c r="A7" s="218" t="s">
        <v>302</v>
      </c>
      <c r="B7" s="159" t="s">
        <v>297</v>
      </c>
      <c r="C7" s="219">
        <v>0.12</v>
      </c>
    </row>
    <row r="8" spans="1:3" ht="15.75" thickBot="1">
      <c r="A8" s="220" t="s">
        <v>301</v>
      </c>
      <c r="B8" s="221" t="s">
        <v>298</v>
      </c>
      <c r="C8" s="222">
        <v>7.0000000000000001E-3</v>
      </c>
    </row>
    <row r="9" spans="1:3">
      <c r="A9" s="167" t="s">
        <v>459</v>
      </c>
    </row>
    <row r="10" spans="1:3" ht="15.75" thickBot="1"/>
    <row r="11" spans="1:3" ht="15.75" thickBot="1">
      <c r="A11" s="632" t="s">
        <v>427</v>
      </c>
      <c r="B11" s="633"/>
    </row>
    <row r="12" spans="1:3" ht="15.75" thickBot="1">
      <c r="A12" s="226" t="s">
        <v>29</v>
      </c>
      <c r="B12" s="229" t="s">
        <v>428</v>
      </c>
    </row>
    <row r="13" spans="1:3">
      <c r="A13" s="230">
        <v>32</v>
      </c>
      <c r="B13" s="231">
        <v>1.25</v>
      </c>
    </row>
    <row r="14" spans="1:3">
      <c r="A14" s="232">
        <v>40</v>
      </c>
      <c r="B14" s="233">
        <v>1.5</v>
      </c>
    </row>
    <row r="15" spans="1:3">
      <c r="A15" s="232">
        <v>50</v>
      </c>
      <c r="B15" s="234">
        <v>2</v>
      </c>
    </row>
    <row r="16" spans="1:3">
      <c r="A16" s="232">
        <v>65</v>
      </c>
      <c r="B16" s="233">
        <v>2.5</v>
      </c>
    </row>
    <row r="17" spans="1:2">
      <c r="A17" s="232">
        <v>80</v>
      </c>
      <c r="B17" s="234">
        <v>3</v>
      </c>
    </row>
    <row r="18" spans="1:2" ht="15.75" thickBot="1">
      <c r="A18" s="235">
        <v>100</v>
      </c>
      <c r="B18" s="236">
        <v>4</v>
      </c>
    </row>
  </sheetData>
  <mergeCells count="2">
    <mergeCell ref="A1:C1"/>
    <mergeCell ref="A11:B11"/>
  </mergeCells>
  <pageMargins left="1.4960629921259843" right="0.70866141732283472" top="0.74803149606299213" bottom="0.74803149606299213" header="0.31496062992125984" footer="0.31496062992125984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3</vt:i4>
      </vt:variant>
    </vt:vector>
  </HeadingPairs>
  <TitlesOfParts>
    <vt:vector size="14" baseType="lpstr">
      <vt:lpstr>Datos de entrada</vt:lpstr>
      <vt:lpstr>Bombas coincidentes</vt:lpstr>
      <vt:lpstr>Linea de impulsión</vt:lpstr>
      <vt:lpstr>Pozo humedo</vt:lpstr>
      <vt:lpstr>Optimización</vt:lpstr>
      <vt:lpstr>K accesorios</vt:lpstr>
      <vt:lpstr>Datos curvas</vt:lpstr>
      <vt:lpstr>Prop. Agua</vt:lpstr>
      <vt:lpstr>Tuberías</vt:lpstr>
      <vt:lpstr>Base de datos</vt:lpstr>
      <vt:lpstr>APU</vt:lpstr>
      <vt:lpstr>COSTO</vt:lpstr>
      <vt:lpstr>H</vt:lpstr>
      <vt:lpstr>Q</vt:lpstr>
    </vt:vector>
  </TitlesOfParts>
  <Company>EMDEPA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CAROLINA CORREDOR</dc:creator>
  <cp:keywords>Diseño EBAR_V1</cp:keywords>
  <cp:lastModifiedBy>TERRE</cp:lastModifiedBy>
  <cp:lastPrinted>2014-05-15T19:05:04Z</cp:lastPrinted>
  <dcterms:created xsi:type="dcterms:W3CDTF">2010-07-26T16:23:22Z</dcterms:created>
  <dcterms:modified xsi:type="dcterms:W3CDTF">2014-07-14T20:45:55Z</dcterms:modified>
</cp:coreProperties>
</file>